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5195" windowHeight="8445"/>
  </bookViews>
  <sheets>
    <sheet name="Foglio1" sheetId="1" r:id="rId1"/>
  </sheets>
  <definedNames>
    <definedName name="_xlnm.Print_Area" localSheetId="0">Foglio1!$A$1:$L$10</definedName>
  </definedNames>
  <calcPr calcId="125725"/>
</workbook>
</file>

<file path=xl/calcChain.xml><?xml version="1.0" encoding="utf-8"?>
<calcChain xmlns="http://schemas.openxmlformats.org/spreadsheetml/2006/main">
  <c r="H8" i="1"/>
  <c r="G8"/>
  <c r="H7"/>
  <c r="G7"/>
  <c r="H6"/>
  <c r="G5"/>
  <c r="H5" s="1"/>
  <c r="H4"/>
  <c r="G4"/>
  <c r="U4" l="1"/>
  <c r="U5"/>
  <c r="U6"/>
  <c r="Y5" s="1"/>
  <c r="Y4" s="1"/>
  <c r="U8"/>
  <c r="AB4"/>
  <c r="W6"/>
  <c r="S4"/>
  <c r="S7"/>
  <c r="W8"/>
  <c r="AG4"/>
  <c r="S6"/>
  <c r="S5" s="1"/>
  <c r="U7" s="1"/>
  <c r="Y7" l="1"/>
  <c r="W7"/>
  <c r="AD4"/>
  <c r="AA4"/>
  <c r="W4"/>
  <c r="W5" s="1"/>
  <c r="Z5" s="1"/>
  <c r="AB6"/>
  <c r="AD5" l="1"/>
  <c r="AD6" s="1"/>
  <c r="AD7" s="1"/>
  <c r="L4" s="1"/>
  <c r="L6"/>
  <c r="F10" s="1"/>
  <c r="AE6"/>
  <c r="AE5" s="1"/>
  <c r="AE7"/>
  <c r="AG5"/>
  <c r="AF5" s="1"/>
  <c r="AE4" s="1"/>
  <c r="AF4" s="1"/>
  <c r="L5" s="1"/>
  <c r="AG8" s="1"/>
  <c r="AB5"/>
  <c r="AB7"/>
  <c r="AA6" s="1"/>
  <c r="AA5"/>
  <c r="J8" s="1"/>
  <c r="Z7"/>
  <c r="Z6" s="1"/>
  <c r="Z4" s="1"/>
  <c r="Y6" s="1"/>
  <c r="J7" s="1"/>
  <c r="L8" l="1"/>
  <c r="J10" s="1"/>
  <c r="K10" s="1"/>
  <c r="F9"/>
  <c r="AF6"/>
  <c r="AG7"/>
  <c r="L7" s="1"/>
  <c r="J9"/>
</calcChain>
</file>

<file path=xl/sharedStrings.xml><?xml version="1.0" encoding="utf-8"?>
<sst xmlns="http://schemas.openxmlformats.org/spreadsheetml/2006/main" count="58" uniqueCount="50">
  <si>
    <t>crit. dif.Long. &gt;180°</t>
  </si>
  <si>
    <t>calc.Ri 360°</t>
  </si>
  <si>
    <t>N</t>
  </si>
  <si>
    <t>R iniz. quadr.</t>
  </si>
  <si>
    <t>l.cr.</t>
  </si>
  <si>
    <t xml:space="preserve"> tg dL/dl</t>
  </si>
  <si>
    <t>navig. Per nord</t>
  </si>
  <si>
    <t>m ort</t>
  </si>
  <si>
    <t>Grado</t>
  </si>
  <si>
    <t>E</t>
  </si>
  <si>
    <t>rv quadrantale</t>
  </si>
  <si>
    <t>navig. Per sud</t>
  </si>
  <si>
    <t>m ort in °</t>
  </si>
  <si>
    <t>D. l.cr.</t>
  </si>
  <si>
    <t>calcolo</t>
  </si>
  <si>
    <t>rv iniz.</t>
  </si>
  <si>
    <t>D. Long.</t>
  </si>
  <si>
    <t>nav. per E/W</t>
  </si>
  <si>
    <t>J7=T7</t>
  </si>
  <si>
    <t>rv iniz.ass.</t>
  </si>
  <si>
    <t>lat.vertic.</t>
  </si>
  <si>
    <t>Tremiti</t>
  </si>
  <si>
    <t>miglia  =</t>
  </si>
  <si>
    <t>D.lat.</t>
  </si>
  <si>
    <t>lat.media</t>
  </si>
  <si>
    <t>diff.L.V.</t>
  </si>
  <si>
    <t>Gradi</t>
  </si>
  <si>
    <t>Primi</t>
  </si>
  <si>
    <t>Secondi</t>
  </si>
  <si>
    <t>Lat/Long</t>
  </si>
  <si>
    <t>CALCOLO DELLA DIFFERENZA IN MIGLIA TRA UN PERCORSO (ROTTA) LOSSODROMICO ED UNO ORTODROMICO</t>
  </si>
  <si>
    <t>miglia</t>
  </si>
  <si>
    <t xml:space="preserve">Percorso Lossodromico </t>
  </si>
  <si>
    <t xml:space="preserve">Percorso Ortodromico </t>
  </si>
  <si>
    <t>Input Rotta</t>
  </si>
  <si>
    <t>Partenza da</t>
  </si>
  <si>
    <t>Arrrivo a</t>
  </si>
  <si>
    <t>metri</t>
  </si>
  <si>
    <t>R iniz. 0°- 360°</t>
  </si>
  <si>
    <t>Ortodromia miglia</t>
  </si>
  <si>
    <t>Latitudine vertice</t>
  </si>
  <si>
    <t>Latitudine</t>
  </si>
  <si>
    <t>Longitudine</t>
  </si>
  <si>
    <t xml:space="preserve">L'esempio sopra riportato è una piccola "provocazione", come si può notare su 232 miglia il risparmio di percorso è di soli 260 mt, </t>
  </si>
  <si>
    <t>ma se tracci una rotta di 4 o 5.000 miglia,  scoprirai che forse la rotta Ortodromica sarebbe più conveniente. Prova!</t>
  </si>
  <si>
    <r>
      <t>Gli unici valori che devi cambiare sono quelli in</t>
    </r>
    <r>
      <rPr>
        <b/>
        <sz val="10"/>
        <color indexed="10"/>
        <rFont val="Arial"/>
        <family val="2"/>
      </rPr>
      <t xml:space="preserve"> grassetto-rosso, non cambiare altro!</t>
    </r>
  </si>
  <si>
    <t>Rv (°) =</t>
  </si>
  <si>
    <t>Lossodr. - Ortodrom.   Mn =</t>
  </si>
  <si>
    <t>Risparmio percorso in   (%)   =</t>
  </si>
  <si>
    <t>Risparmio percorso in    Mn  =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</si>
</sst>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"/>
    <numFmt numFmtId="165" formatCode="0.0"/>
    <numFmt numFmtId="167" formatCode="_-* #,##0.0_-;\-* #,##0.0_-;_-* &quot;-&quot;??_-;_-@_-"/>
  </numFmts>
  <fonts count="15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  <font>
      <b/>
      <i/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10"/>
      <name val="Arial"/>
    </font>
    <font>
      <i/>
      <sz val="10"/>
      <name val="Arial"/>
      <family val="2"/>
    </font>
    <font>
      <i/>
      <sz val="10"/>
      <color indexed="9"/>
      <name val="Arial"/>
      <family val="2"/>
    </font>
    <font>
      <i/>
      <sz val="10"/>
      <color indexed="12"/>
      <name val="Arial"/>
      <family val="2"/>
    </font>
    <font>
      <i/>
      <sz val="10"/>
      <color theme="8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1" fillId="0" borderId="0" xfId="0" applyFont="1" applyBorder="1" applyProtection="1"/>
    <xf numFmtId="0" fontId="1" fillId="0" borderId="0" xfId="0" applyFont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165" fontId="3" fillId="0" borderId="0" xfId="0" applyNumberFormat="1" applyFont="1" applyBorder="1" applyProtection="1"/>
    <xf numFmtId="0" fontId="4" fillId="0" borderId="7" xfId="0" applyFont="1" applyBorder="1" applyProtection="1"/>
    <xf numFmtId="0" fontId="3" fillId="0" borderId="7" xfId="0" applyFont="1" applyBorder="1" applyProtection="1"/>
    <xf numFmtId="0" fontId="2" fillId="0" borderId="8" xfId="0" applyFont="1" applyBorder="1" applyAlignment="1">
      <alignment horizontal="center"/>
    </xf>
    <xf numFmtId="0" fontId="3" fillId="0" borderId="8" xfId="0" applyFont="1" applyBorder="1" applyProtection="1"/>
    <xf numFmtId="0" fontId="6" fillId="3" borderId="9" xfId="0" applyFont="1" applyFill="1" applyBorder="1" applyProtection="1"/>
    <xf numFmtId="4" fontId="3" fillId="0" borderId="0" xfId="0" applyNumberFormat="1" applyFont="1" applyBorder="1" applyProtection="1"/>
    <xf numFmtId="4" fontId="5" fillId="0" borderId="0" xfId="0" applyNumberFormat="1" applyFont="1" applyBorder="1" applyProtection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10" xfId="0" applyFont="1" applyBorder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11" xfId="0" applyFont="1" applyBorder="1" applyProtection="1"/>
    <xf numFmtId="0" fontId="3" fillId="0" borderId="0" xfId="0" applyFont="1"/>
    <xf numFmtId="0" fontId="3" fillId="0" borderId="9" xfId="0" applyFont="1" applyBorder="1" applyProtection="1"/>
    <xf numFmtId="0" fontId="3" fillId="3" borderId="9" xfId="0" applyFont="1" applyFill="1" applyBorder="1" applyProtection="1"/>
    <xf numFmtId="4" fontId="7" fillId="0" borderId="0" xfId="0" applyNumberFormat="1" applyFont="1" applyBorder="1" applyProtection="1"/>
    <xf numFmtId="0" fontId="3" fillId="0" borderId="12" xfId="0" applyFont="1" applyBorder="1" applyProtection="1"/>
    <xf numFmtId="0" fontId="3" fillId="0" borderId="8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center"/>
    </xf>
    <xf numFmtId="0" fontId="3" fillId="0" borderId="13" xfId="0" applyFont="1" applyBorder="1" applyProtection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Protection="1">
      <protection locked="0"/>
    </xf>
    <xf numFmtId="0" fontId="8" fillId="0" borderId="0" xfId="0" applyFont="1" applyBorder="1" applyAlignment="1" applyProtection="1">
      <alignment horizontal="center"/>
    </xf>
    <xf numFmtId="0" fontId="4" fillId="0" borderId="0" xfId="0" applyFont="1"/>
    <xf numFmtId="4" fontId="8" fillId="0" borderId="0" xfId="0" applyNumberFormat="1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4" fillId="0" borderId="8" xfId="0" applyFont="1" applyBorder="1"/>
    <xf numFmtId="4" fontId="8" fillId="0" borderId="8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/>
    </xf>
    <xf numFmtId="0" fontId="1" fillId="3" borderId="0" xfId="0" applyFont="1" applyFill="1" applyBorder="1" applyProtection="1"/>
    <xf numFmtId="0" fontId="3" fillId="0" borderId="0" xfId="0" applyFont="1" applyFill="1" applyBorder="1"/>
    <xf numFmtId="0" fontId="2" fillId="0" borderId="8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</xf>
    <xf numFmtId="2" fontId="9" fillId="2" borderId="0" xfId="0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4" fontId="9" fillId="2" borderId="0" xfId="0" applyNumberFormat="1" applyFont="1" applyFill="1" applyBorder="1" applyProtection="1">
      <protection locked="0"/>
    </xf>
    <xf numFmtId="164" fontId="9" fillId="2" borderId="7" xfId="0" applyNumberFormat="1" applyFont="1" applyFill="1" applyBorder="1" applyProtection="1"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2" fillId="2" borderId="0" xfId="0" applyFont="1" applyFill="1" applyBorder="1" applyProtection="1">
      <protection locked="0"/>
    </xf>
    <xf numFmtId="164" fontId="12" fillId="2" borderId="7" xfId="0" applyNumberFormat="1" applyFont="1" applyFill="1" applyBorder="1" applyProtection="1">
      <protection locked="0"/>
    </xf>
    <xf numFmtId="0" fontId="9" fillId="3" borderId="0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165" fontId="12" fillId="2" borderId="0" xfId="0" applyNumberFormat="1" applyFont="1" applyFill="1" applyBorder="1" applyProtection="1">
      <protection locked="0"/>
    </xf>
    <xf numFmtId="0" fontId="13" fillId="3" borderId="0" xfId="0" applyFont="1" applyFill="1" applyBorder="1" applyAlignment="1" applyProtection="1">
      <alignment horizontal="right"/>
      <protection locked="0"/>
    </xf>
    <xf numFmtId="164" fontId="13" fillId="3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horizontal="right"/>
      <protection locked="0"/>
    </xf>
    <xf numFmtId="10" fontId="14" fillId="0" borderId="0" xfId="2" applyNumberFormat="1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10" fontId="11" fillId="0" borderId="7" xfId="2" applyNumberFormat="1" applyFont="1" applyBorder="1" applyProtection="1">
      <protection locked="0"/>
    </xf>
    <xf numFmtId="0" fontId="13" fillId="0" borderId="8" xfId="0" applyFont="1" applyBorder="1" applyProtection="1">
      <protection locked="0"/>
    </xf>
    <xf numFmtId="0" fontId="13" fillId="3" borderId="8" xfId="0" applyFont="1" applyFill="1" applyBorder="1" applyAlignment="1" applyProtection="1">
      <alignment horizontal="left"/>
      <protection locked="0"/>
    </xf>
    <xf numFmtId="164" fontId="13" fillId="0" borderId="8" xfId="0" applyNumberFormat="1" applyFont="1" applyBorder="1" applyAlignment="1" applyProtection="1">
      <alignment horizontal="center"/>
      <protection locked="0"/>
    </xf>
    <xf numFmtId="167" fontId="11" fillId="0" borderId="8" xfId="1" applyNumberFormat="1" applyFont="1" applyBorder="1" applyProtection="1">
      <protection locked="0"/>
    </xf>
    <xf numFmtId="0" fontId="11" fillId="0" borderId="13" xfId="0" applyFont="1" applyBorder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showGridLines="0" tabSelected="1" workbookViewId="0">
      <selection activeCell="L22" sqref="L22"/>
    </sheetView>
  </sheetViews>
  <sheetFormatPr defaultRowHeight="12.75"/>
  <cols>
    <col min="1" max="1" width="17.28515625" style="29" customWidth="1"/>
    <col min="2" max="2" width="11.5703125" style="6" customWidth="1"/>
    <col min="3" max="6" width="9.140625" style="2"/>
    <col min="7" max="8" width="8.28515625" style="29" customWidth="1"/>
    <col min="9" max="9" width="9.5703125" style="37" customWidth="1"/>
    <col min="10" max="10" width="9.5703125" style="38" customWidth="1"/>
    <col min="11" max="11" width="23.42578125" style="6" customWidth="1"/>
    <col min="12" max="12" width="7.5703125" style="29" customWidth="1"/>
    <col min="13" max="16" width="9.5703125" customWidth="1"/>
    <col min="17" max="17" width="0.5703125" style="29" customWidth="1"/>
    <col min="18" max="18" width="0.85546875" style="29" customWidth="1"/>
    <col min="19" max="19" width="0.5703125" style="29" customWidth="1"/>
    <col min="20" max="20" width="0.5703125" style="37" customWidth="1"/>
    <col min="21" max="22" width="0.5703125" style="29" customWidth="1"/>
    <col min="23" max="23" width="0.5703125" style="38" customWidth="1"/>
    <col min="24" max="79" width="0.5703125" style="29" customWidth="1"/>
    <col min="80" max="16384" width="9.140625" style="29"/>
  </cols>
  <sheetData>
    <row r="1" spans="1:33" s="22" customFormat="1" ht="28.5" customHeight="1" thickBot="1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/>
      <c r="N1"/>
      <c r="O1"/>
      <c r="P1"/>
      <c r="Q1" s="17"/>
      <c r="R1" s="17"/>
      <c r="T1" s="23"/>
      <c r="W1" s="24"/>
    </row>
    <row r="2" spans="1:33" ht="13.5" thickTop="1">
      <c r="A2" s="25"/>
      <c r="B2" s="5"/>
      <c r="C2" s="59" t="s">
        <v>34</v>
      </c>
      <c r="D2" s="59"/>
      <c r="E2" s="59"/>
      <c r="F2" s="59"/>
      <c r="G2" s="11"/>
      <c r="H2" s="11"/>
      <c r="I2" s="26"/>
      <c r="J2" s="27"/>
      <c r="K2" s="5"/>
      <c r="L2" s="28"/>
      <c r="Q2" s="11"/>
      <c r="R2" s="11"/>
      <c r="S2" s="11"/>
      <c r="T2" s="26"/>
      <c r="U2" s="11"/>
      <c r="V2" s="11"/>
      <c r="W2" s="27"/>
      <c r="X2" s="11"/>
      <c r="Y2" s="11"/>
      <c r="Z2" s="11"/>
      <c r="AA2" s="11"/>
      <c r="AB2" s="11"/>
      <c r="AC2" s="11"/>
      <c r="AD2" s="11"/>
      <c r="AE2" s="11"/>
      <c r="AF2" s="11"/>
      <c r="AG2" s="16"/>
    </row>
    <row r="3" spans="1:33">
      <c r="A3" s="30"/>
      <c r="B3" s="5"/>
      <c r="C3" s="55" t="s">
        <v>26</v>
      </c>
      <c r="D3" s="55" t="s">
        <v>27</v>
      </c>
      <c r="E3" s="55" t="s">
        <v>28</v>
      </c>
      <c r="F3" s="55" t="s">
        <v>29</v>
      </c>
      <c r="G3" s="11"/>
      <c r="H3" s="11"/>
      <c r="I3" s="26"/>
      <c r="J3" s="27"/>
      <c r="K3" s="5"/>
      <c r="L3" s="16"/>
      <c r="Q3" s="11"/>
      <c r="R3" s="11"/>
      <c r="S3" s="12" t="s">
        <v>0</v>
      </c>
      <c r="T3" s="26"/>
      <c r="U3" s="11"/>
      <c r="V3" s="11"/>
      <c r="W3" s="27"/>
      <c r="X3" s="11"/>
      <c r="Y3" s="11"/>
      <c r="Z3" s="11"/>
      <c r="AA3" s="11"/>
      <c r="AB3" s="11"/>
      <c r="AC3" s="11"/>
      <c r="AD3" s="11"/>
      <c r="AE3" s="12" t="s">
        <v>1</v>
      </c>
      <c r="AF3" s="12" t="s">
        <v>1</v>
      </c>
      <c r="AG3" s="15" t="s">
        <v>1</v>
      </c>
    </row>
    <row r="4" spans="1:33">
      <c r="A4" s="19" t="s">
        <v>35</v>
      </c>
      <c r="B4" s="56" t="s">
        <v>41</v>
      </c>
      <c r="C4" s="40">
        <v>45</v>
      </c>
      <c r="D4" s="41">
        <v>39</v>
      </c>
      <c r="E4" s="41">
        <v>22</v>
      </c>
      <c r="F4" s="42" t="s">
        <v>2</v>
      </c>
      <c r="G4" s="60">
        <f>C4+(D4/60)+(E4/3600)</f>
        <v>45.656111111111109</v>
      </c>
      <c r="H4" s="60">
        <f>IF(F4="n",G4,G4*-1)</f>
        <v>45.656111111111109</v>
      </c>
      <c r="I4" s="61"/>
      <c r="J4" s="62"/>
      <c r="K4" s="63" t="s">
        <v>3</v>
      </c>
      <c r="L4" s="64">
        <f>AD7</f>
        <v>24.17936124555024</v>
      </c>
      <c r="Q4" s="20"/>
      <c r="R4" s="20"/>
      <c r="S4" s="11">
        <f>(H8-H5)*60</f>
        <v>128.15000000000003</v>
      </c>
      <c r="T4" s="13" t="s">
        <v>4</v>
      </c>
      <c r="U4" s="11">
        <f>(7915.7*(LOG10(TAN(RADIANS(H4/2+45)))))-3437.74677*0.0067227*(SIN(RADIANS(H4)))</f>
        <v>3069.4048241233836</v>
      </c>
      <c r="V4" s="12" t="s">
        <v>5</v>
      </c>
      <c r="W4" s="27">
        <f>(U7/U6)</f>
        <v>-0.43480074496788962</v>
      </c>
      <c r="X4" s="11" t="s">
        <v>6</v>
      </c>
      <c r="Y4" s="11">
        <f>IF(U6&gt;0,0,Y5)</f>
        <v>180</v>
      </c>
      <c r="Z4" s="11">
        <f>IF(U6&gt;0,Z5,Z6)</f>
        <v>156.50056040178083</v>
      </c>
      <c r="AA4" s="11" t="b">
        <f>IF(U7=0,J8=AB4)</f>
        <v>0</v>
      </c>
      <c r="AB4" s="11">
        <f>ABS(U8*60)</f>
        <v>213.11666666666625</v>
      </c>
      <c r="AC4" s="12" t="s">
        <v>7</v>
      </c>
      <c r="AD4" s="11">
        <f>ABS(DEGREES(ACOS(((SIN(RADIANS(H4)))*(SIN(RADIANS(H7)))+((COS(RADIANS(H4)))*(COS(RADIANS(H7)))*(COS(RADIANS(U7/60))))))))*60</f>
        <v>232.24993655483343</v>
      </c>
      <c r="AE4" s="11">
        <f>IF((H4*H7)&lt;0,AE5,AF5)</f>
        <v>24.17936124555024</v>
      </c>
      <c r="AF4" s="11">
        <f>IF(U7=0,AG4,AE4)</f>
        <v>24.17936124555024</v>
      </c>
      <c r="AG4" s="16">
        <f>IF(U8&gt;0,0,180)</f>
        <v>180</v>
      </c>
    </row>
    <row r="5" spans="1:33">
      <c r="A5" s="46" t="s">
        <v>8</v>
      </c>
      <c r="B5" s="56" t="s">
        <v>42</v>
      </c>
      <c r="C5" s="43">
        <v>13</v>
      </c>
      <c r="D5" s="44">
        <v>21</v>
      </c>
      <c r="E5" s="44">
        <v>45</v>
      </c>
      <c r="F5" s="45" t="s">
        <v>9</v>
      </c>
      <c r="G5" s="60">
        <f>C5+(D5/60)+(E5/3600)</f>
        <v>13.362499999999999</v>
      </c>
      <c r="H5" s="60">
        <f>IF(F5="e",G5,G5*-1)</f>
        <v>13.362499999999999</v>
      </c>
      <c r="I5" s="65"/>
      <c r="J5" s="66"/>
      <c r="K5" s="67" t="s">
        <v>38</v>
      </c>
      <c r="L5" s="68">
        <f>AF4</f>
        <v>24.17936124555024</v>
      </c>
      <c r="Q5" s="21"/>
      <c r="R5" s="21"/>
      <c r="S5" s="14">
        <f>IF(S4&gt;10800,S4-21600,S6)</f>
        <v>128.15000000000003</v>
      </c>
      <c r="T5" s="13" t="s">
        <v>4</v>
      </c>
      <c r="U5" s="11">
        <f>(7915.7*(LOG10(TAN(RADIANS(H7/2+45)))))-3437.74677*0.0067227*(SIN(RADIANS(H7)))</f>
        <v>2774.6321184343351</v>
      </c>
      <c r="V5" s="12" t="s">
        <v>10</v>
      </c>
      <c r="W5" s="27">
        <f>ABS(DEGREES((ATAN(W4))))</f>
        <v>23.499439598219162</v>
      </c>
      <c r="X5" s="11" t="s">
        <v>11</v>
      </c>
      <c r="Y5" s="11">
        <f>IF(U6&lt;0,180,Y6)</f>
        <v>180</v>
      </c>
      <c r="Z5" s="11">
        <f>IF(U7&gt;0,W5,360-W5)</f>
        <v>23.499439598219162</v>
      </c>
      <c r="AA5" s="11">
        <f>IF(W5&lt;45.001,AB5,AA6)</f>
        <v>232.39018498661906</v>
      </c>
      <c r="AB5" s="11">
        <f>ABS((U8*60)/(COS(RADIANS(W5))))</f>
        <v>232.39018498661906</v>
      </c>
      <c r="AC5" s="12" t="s">
        <v>12</v>
      </c>
      <c r="AD5" s="11">
        <f>AD4/60</f>
        <v>3.8708322759138905</v>
      </c>
      <c r="AE5" s="11">
        <f>IF(U7&gt;0,AE6,AE7)</f>
        <v>24.17936124555024</v>
      </c>
      <c r="AF5" s="11">
        <f>IF(H4&gt;0,AG5,AF6)</f>
        <v>24.17936124555024</v>
      </c>
      <c r="AG5" s="16">
        <f>IF(U7&gt;0,AD7,360-AD7)</f>
        <v>24.17936124555024</v>
      </c>
    </row>
    <row r="6" spans="1:33">
      <c r="A6" s="31"/>
      <c r="B6" s="56"/>
      <c r="C6" s="1"/>
      <c r="D6" s="1"/>
      <c r="E6" s="1"/>
      <c r="F6" s="1"/>
      <c r="G6" s="69"/>
      <c r="H6" s="70">
        <f>IF(F6="n",G6,G6*-1)</f>
        <v>0</v>
      </c>
      <c r="I6" s="65"/>
      <c r="J6" s="66"/>
      <c r="K6" s="71" t="s">
        <v>39</v>
      </c>
      <c r="L6" s="68">
        <f>AD4</f>
        <v>232.24993655483343</v>
      </c>
      <c r="Q6" s="32"/>
      <c r="R6" s="32"/>
      <c r="S6" s="14">
        <f>IF(S4&lt;(-10800),(S4+21600),S7)</f>
        <v>128.15000000000003</v>
      </c>
      <c r="T6" s="13" t="s">
        <v>13</v>
      </c>
      <c r="U6" s="11">
        <f>U5-U4+0.04</f>
        <v>-294.73270568904849</v>
      </c>
      <c r="V6" s="11"/>
      <c r="W6" s="27" t="str">
        <f>IF(U6&gt;0,"N","S")</f>
        <v>S</v>
      </c>
      <c r="X6" s="11" t="s">
        <v>14</v>
      </c>
      <c r="Y6" s="11">
        <f>IF(U6=0,Y7,Z4)</f>
        <v>156.50056040178083</v>
      </c>
      <c r="Z6" s="11">
        <f>IF(U6&lt;0,Z7)</f>
        <v>156.50056040178083</v>
      </c>
      <c r="AA6" s="11">
        <f>IF(W5&gt;87.001,AB6,AB7)</f>
        <v>232.39018498661909</v>
      </c>
      <c r="AB6" s="11">
        <f>ABS((U7)*(COS(RADIANS(W8)))*(1/(SIN(RADIANS(W5)))))</f>
        <v>231.65320462605396</v>
      </c>
      <c r="AC6" s="12" t="s">
        <v>15</v>
      </c>
      <c r="AD6" s="11">
        <f>DEGREES(ASIN((SIN(RADIANS(U7/60)))*(COS(RADIANS(H7)))*(1/(SIN(RADIANS(AD5))))))</f>
        <v>24.17936124555024</v>
      </c>
      <c r="AE6" s="11">
        <f>IF(H7&gt;0,AD7,180-AD7)</f>
        <v>24.17936124555024</v>
      </c>
      <c r="AF6" s="11">
        <f>IF(U7&gt;0,180-AD7,180+AD7)</f>
        <v>155.82063875444976</v>
      </c>
      <c r="AG6" s="16"/>
    </row>
    <row r="7" spans="1:33">
      <c r="A7" s="19" t="s">
        <v>36</v>
      </c>
      <c r="B7" s="56" t="s">
        <v>41</v>
      </c>
      <c r="C7" s="7">
        <v>42</v>
      </c>
      <c r="D7" s="8">
        <v>6</v>
      </c>
      <c r="E7" s="8">
        <v>15</v>
      </c>
      <c r="F7" s="3" t="s">
        <v>2</v>
      </c>
      <c r="G7" s="60">
        <f>C7+(D7/60)+(E7/3600)</f>
        <v>42.104166666666671</v>
      </c>
      <c r="H7" s="60">
        <f>IF(F7="n",G7,G7*-1)</f>
        <v>42.104166666666671</v>
      </c>
      <c r="I7" s="72" t="s">
        <v>46</v>
      </c>
      <c r="J7" s="73">
        <f>IF(U7=0,Y4,Y6)</f>
        <v>156.50056040178083</v>
      </c>
      <c r="K7" s="67" t="s">
        <v>40</v>
      </c>
      <c r="L7" s="68">
        <f>AG7</f>
        <v>73.363937404759298</v>
      </c>
      <c r="Q7" s="21"/>
      <c r="R7" s="21"/>
      <c r="S7" s="11">
        <f>(H8-H5)*60</f>
        <v>128.15000000000003</v>
      </c>
      <c r="T7" s="13" t="s">
        <v>16</v>
      </c>
      <c r="U7" s="14">
        <f>S5</f>
        <v>128.15000000000003</v>
      </c>
      <c r="V7" s="11"/>
      <c r="W7" s="27" t="str">
        <f>IF(U7&gt;0,"E","W")</f>
        <v>E</v>
      </c>
      <c r="X7" s="11" t="s">
        <v>17</v>
      </c>
      <c r="Y7" s="11">
        <f>IF(U7&gt;0,90,270)</f>
        <v>90</v>
      </c>
      <c r="Z7" s="11">
        <f>IF(U7&gt;0,180-W5,180+W5)</f>
        <v>156.50056040178083</v>
      </c>
      <c r="AA7" s="11" t="s">
        <v>18</v>
      </c>
      <c r="AB7" s="11">
        <f>ABS(U8*60*(TAN(RADIANS(W5)))*(1/(SIN(RADIANS(W5)))))</f>
        <v>232.39018498661909</v>
      </c>
      <c r="AC7" s="12" t="s">
        <v>19</v>
      </c>
      <c r="AD7" s="11">
        <f>ABS(AD6)</f>
        <v>24.17936124555024</v>
      </c>
      <c r="AE7" s="11">
        <f>IF(H7&gt;0,360-AD7,180+AD7)</f>
        <v>335.82063875444976</v>
      </c>
      <c r="AF7" s="12" t="s">
        <v>20</v>
      </c>
      <c r="AG7" s="16">
        <f>DEGREES(ACOS((COS(RADIANS(H4)))*(SIN(RADIANS(AD7)))))</f>
        <v>73.363937404759298</v>
      </c>
    </row>
    <row r="8" spans="1:33">
      <c r="A8" s="46" t="s">
        <v>21</v>
      </c>
      <c r="B8" s="56" t="s">
        <v>42</v>
      </c>
      <c r="C8" s="9">
        <v>15</v>
      </c>
      <c r="D8" s="10">
        <v>29</v>
      </c>
      <c r="E8" s="10">
        <v>54</v>
      </c>
      <c r="F8" s="4" t="s">
        <v>9</v>
      </c>
      <c r="G8" s="60">
        <f>C8+(D8/60)+(E8/3600)</f>
        <v>15.498333333333333</v>
      </c>
      <c r="H8" s="60">
        <f>IF(F8="e",G8,G8*-1)</f>
        <v>15.498333333333333</v>
      </c>
      <c r="I8" s="72" t="s">
        <v>22</v>
      </c>
      <c r="J8" s="73">
        <f>IF(U7=0,AB4,AA5)</f>
        <v>232.39018498661906</v>
      </c>
      <c r="K8" s="67" t="s">
        <v>47</v>
      </c>
      <c r="L8" s="68">
        <f>J8-L6</f>
        <v>0.14024843178563628</v>
      </c>
      <c r="Q8" s="32"/>
      <c r="R8" s="32"/>
      <c r="S8" s="11"/>
      <c r="T8" s="13" t="s">
        <v>23</v>
      </c>
      <c r="U8" s="11">
        <f>H7-H4</f>
        <v>-3.5519444444444375</v>
      </c>
      <c r="V8" s="12" t="s">
        <v>24</v>
      </c>
      <c r="W8" s="27">
        <f>(H4+H7)/2</f>
        <v>43.880138888888894</v>
      </c>
      <c r="X8" s="11"/>
      <c r="Y8" s="11"/>
      <c r="Z8" s="11"/>
      <c r="AA8" s="11"/>
      <c r="AB8" s="11"/>
      <c r="AC8" s="11"/>
      <c r="AD8" s="11"/>
      <c r="AE8" s="11"/>
      <c r="AF8" s="12" t="s">
        <v>25</v>
      </c>
      <c r="AG8" s="16">
        <f>DEGREES(ATAN(1/((SIN(RADIANS(G4)))*(TAN(RADIANS(L5))))))</f>
        <v>72.198437973661427</v>
      </c>
    </row>
    <row r="9" spans="1:33">
      <c r="A9" s="30"/>
      <c r="B9" s="53" t="s">
        <v>32</v>
      </c>
      <c r="C9" s="47"/>
      <c r="D9" s="47"/>
      <c r="E9" s="48" t="s">
        <v>31</v>
      </c>
      <c r="F9" s="49">
        <f>J8</f>
        <v>232.39018498661906</v>
      </c>
      <c r="G9" s="74" t="s">
        <v>48</v>
      </c>
      <c r="H9" s="74"/>
      <c r="I9" s="75"/>
      <c r="J9" s="76">
        <f>1-(F10/F9)</f>
        <v>6.0350411009701954E-4</v>
      </c>
      <c r="K9" s="77"/>
      <c r="L9" s="78"/>
      <c r="Q9" s="11"/>
      <c r="R9" s="11"/>
      <c r="S9" s="11"/>
      <c r="T9" s="26"/>
      <c r="U9" s="11"/>
      <c r="V9" s="11"/>
      <c r="W9" s="27"/>
      <c r="X9" s="11"/>
      <c r="Y9" s="11"/>
      <c r="Z9" s="11"/>
      <c r="AA9" s="11"/>
      <c r="AB9" s="11"/>
      <c r="AC9" s="11"/>
      <c r="AD9" s="11"/>
      <c r="AE9" s="11"/>
      <c r="AF9" s="11"/>
      <c r="AG9" s="16"/>
    </row>
    <row r="10" spans="1:33" s="22" customFormat="1" ht="13.5" thickBot="1">
      <c r="A10" s="33"/>
      <c r="B10" s="54" t="s">
        <v>33</v>
      </c>
      <c r="C10" s="50"/>
      <c r="D10" s="50"/>
      <c r="E10" s="51" t="s">
        <v>31</v>
      </c>
      <c r="F10" s="52">
        <f>L6</f>
        <v>232.24993655483343</v>
      </c>
      <c r="G10" s="79" t="s">
        <v>49</v>
      </c>
      <c r="H10" s="79"/>
      <c r="I10" s="80"/>
      <c r="J10" s="81">
        <f>L8</f>
        <v>0.14024843178563628</v>
      </c>
      <c r="K10" s="82">
        <f>J10*1852</f>
        <v>259.7400956669984</v>
      </c>
      <c r="L10" s="83" t="s">
        <v>37</v>
      </c>
      <c r="M10"/>
      <c r="N10"/>
      <c r="O10"/>
      <c r="P10"/>
      <c r="Q10" s="18"/>
      <c r="R10" s="18"/>
      <c r="S10" s="18"/>
      <c r="T10" s="34"/>
      <c r="U10" s="18"/>
      <c r="V10" s="18"/>
      <c r="W10" s="35"/>
      <c r="X10" s="18"/>
      <c r="Y10" s="18"/>
      <c r="Z10" s="18"/>
      <c r="AA10" s="18"/>
      <c r="AB10" s="18"/>
      <c r="AC10" s="18"/>
      <c r="AD10" s="18"/>
      <c r="AE10" s="18"/>
      <c r="AF10" s="18"/>
      <c r="AG10" s="36"/>
    </row>
    <row r="11" spans="1:33" ht="13.5" thickTop="1">
      <c r="A11" s="29" t="s">
        <v>43</v>
      </c>
    </row>
    <row r="12" spans="1:33">
      <c r="A12" s="29" t="s">
        <v>44</v>
      </c>
    </row>
    <row r="13" spans="1:33">
      <c r="A13" s="57" t="s">
        <v>45</v>
      </c>
      <c r="G13" s="39"/>
    </row>
  </sheetData>
  <mergeCells count="2">
    <mergeCell ref="A1:L1"/>
    <mergeCell ref="C2:F2"/>
  </mergeCells>
  <phoneticPr fontId="0" type="noConversion"/>
  <pageMargins left="0.83" right="0.61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Foglio1</vt:lpstr>
      <vt:lpstr>Foglio1!Print_Area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cp:lastPrinted>2008-02-26T18:25:18Z</cp:lastPrinted>
  <dcterms:created xsi:type="dcterms:W3CDTF">2008-02-20T19:49:03Z</dcterms:created>
  <dcterms:modified xsi:type="dcterms:W3CDTF">2017-12-21T16:42:39Z</dcterms:modified>
</cp:coreProperties>
</file>