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60" yWindow="300" windowWidth="16900" windowHeight="12700" tabRatio="511" activeTab="0"/>
  </bookViews>
  <sheets>
    <sheet name="Tasso Fisso" sheetId="1" r:id="rId1"/>
    <sheet name="Tasso Variabile" sheetId="2" r:id="rId2"/>
    <sheet name="Step-Up" sheetId="3" r:id="rId3"/>
    <sheet name="Rev Floater" sheetId="4" r:id="rId4"/>
    <sheet name="CMS" sheetId="5" r:id="rId5"/>
    <sheet name="Steepener" sheetId="6" r:id="rId6"/>
  </sheets>
  <definedNames>
    <definedName name="_xlnm.Print_Area" localSheetId="4">'CMS'!$B$2:$O$60</definedName>
    <definedName name="_xlnm.Print_Area" localSheetId="3">'Rev Floater'!$B$2:$O$60</definedName>
    <definedName name="_xlnm.Print_Area" localSheetId="5">'Steepener'!$B$2:$O$60</definedName>
    <definedName name="_xlnm.Print_Area" localSheetId="2">'Step-Up'!$B$2:$R$55</definedName>
    <definedName name="_xlnm.Print_Area" localSheetId="0">'Tasso Fisso'!$B$2:$M$61</definedName>
    <definedName name="_xlnm.Print_Area" localSheetId="1">'Tasso Variabile'!$B$2:$M$61</definedName>
    <definedName name="OLE_LINK1" localSheetId="4">'CMS'!#REF!</definedName>
    <definedName name="OLE_LINK1" localSheetId="3">'Rev Floater'!#REF!</definedName>
    <definedName name="OLE_LINK1" localSheetId="5">'Steepener'!#REF!</definedName>
    <definedName name="OLE_LINK1" localSheetId="2">'Step-Up'!#REF!</definedName>
    <definedName name="OLE_LINK1" localSheetId="0">'Tasso Fisso'!#REF!</definedName>
    <definedName name="OLE_LINK1" localSheetId="1">'Tasso Variabile'!#REF!</definedName>
    <definedName name="solver_adj" localSheetId="5" hidden="1">'Steepener'!$F$26</definedName>
    <definedName name="solver_adj" localSheetId="0" hidden="1">'Tasso Fisso'!$F$24</definedName>
    <definedName name="solver_adj" localSheetId="1" hidden="1">'Tasso Variabile'!$F$24</definedName>
    <definedName name="solver_cvg" localSheetId="5" hidden="1">0.0001</definedName>
    <definedName name="solver_cvg" localSheetId="0" hidden="1">0.0001</definedName>
    <definedName name="solver_cvg" localSheetId="1" hidden="1">0.0001</definedName>
    <definedName name="solver_drv" localSheetId="5" hidden="1">1</definedName>
    <definedName name="solver_drv" localSheetId="0" hidden="1">1</definedName>
    <definedName name="solver_drv" localSheetId="1" hidden="1">1</definedName>
    <definedName name="solver_est" localSheetId="5" hidden="1">1</definedName>
    <definedName name="solver_est" localSheetId="0" hidden="1">1</definedName>
    <definedName name="solver_est" localSheetId="1" hidden="1">1</definedName>
    <definedName name="solver_itr" localSheetId="5" hidden="1">100</definedName>
    <definedName name="solver_itr" localSheetId="0" hidden="1">100</definedName>
    <definedName name="solver_itr" localSheetId="1" hidden="1">100</definedName>
    <definedName name="solver_lin" localSheetId="5" hidden="1">2</definedName>
    <definedName name="solver_lin" localSheetId="0" hidden="1">2</definedName>
    <definedName name="solver_lin" localSheetId="1" hidden="1">2</definedName>
    <definedName name="solver_neg" localSheetId="5" hidden="1">2</definedName>
    <definedName name="solver_neg" localSheetId="0" hidden="1">2</definedName>
    <definedName name="solver_neg" localSheetId="1" hidden="1">2</definedName>
    <definedName name="solver_num" localSheetId="5" hidden="1">0</definedName>
    <definedName name="solver_num" localSheetId="0" hidden="1">0</definedName>
    <definedName name="solver_num" localSheetId="1" hidden="1">0</definedName>
    <definedName name="solver_nwt" localSheetId="5" hidden="1">1</definedName>
    <definedName name="solver_nwt" localSheetId="0" hidden="1">1</definedName>
    <definedName name="solver_nwt" localSheetId="1" hidden="1">1</definedName>
    <definedName name="solver_opt" localSheetId="5" hidden="1">'Steepener'!$F$59</definedName>
    <definedName name="solver_opt" localSheetId="0" hidden="1">'Tasso Fisso'!$F$60</definedName>
    <definedName name="solver_opt" localSheetId="1" hidden="1">'Tasso Variabile'!$F$60</definedName>
    <definedName name="solver_pre" localSheetId="5" hidden="1">0.000001</definedName>
    <definedName name="solver_pre" localSheetId="0" hidden="1">0.000001</definedName>
    <definedName name="solver_pre" localSheetId="1" hidden="1">0.000001</definedName>
    <definedName name="solver_scl" localSheetId="5" hidden="1">2</definedName>
    <definedName name="solver_scl" localSheetId="0" hidden="1">2</definedName>
    <definedName name="solver_scl" localSheetId="1" hidden="1">2</definedName>
    <definedName name="solver_sho" localSheetId="5" hidden="1">2</definedName>
    <definedName name="solver_sho" localSheetId="0" hidden="1">2</definedName>
    <definedName name="solver_sho" localSheetId="1" hidden="1">2</definedName>
    <definedName name="solver_tim" localSheetId="5" hidden="1">100</definedName>
    <definedName name="solver_tim" localSheetId="0" hidden="1">100</definedName>
    <definedName name="solver_tim" localSheetId="1" hidden="1">100</definedName>
    <definedName name="solver_tol" localSheetId="5" hidden="1">0.05</definedName>
    <definedName name="solver_tol" localSheetId="0" hidden="1">0.05</definedName>
    <definedName name="solver_tol" localSheetId="1" hidden="1">0.05</definedName>
    <definedName name="solver_typ" localSheetId="5" hidden="1">3</definedName>
    <definedName name="solver_typ" localSheetId="0" hidden="1">3</definedName>
    <definedName name="solver_typ" localSheetId="1" hidden="1">3</definedName>
    <definedName name="solver_val" localSheetId="5" hidden="1">0.038</definedName>
    <definedName name="solver_val" localSheetId="0" hidden="1">0.043</definedName>
    <definedName name="solver_val" localSheetId="1" hidden="1">0.043</definedName>
  </definedNames>
  <calcPr fullCalcOnLoad="1"/>
</workbook>
</file>

<file path=xl/comments1.xml><?xml version="1.0" encoding="utf-8"?>
<comments xmlns="http://schemas.openxmlformats.org/spreadsheetml/2006/main">
  <authors>
    <author>Paolo</author>
    <author>P</author>
  </authors>
  <commentList>
    <comment ref="F22" authorId="0">
      <text>
        <r>
          <rPr>
            <sz val="10"/>
            <rFont val="Tahoma"/>
            <family val="2"/>
          </rPr>
          <t>Se si tratta di un titolo in valuta estera inserire il valore dell'Euro corrispondente all' Acquisto</t>
        </r>
        <r>
          <rPr>
            <sz val="8"/>
            <rFont val="Tahoma"/>
            <family val="2"/>
          </rPr>
          <t xml:space="preserve">
</t>
        </r>
      </text>
    </comment>
    <comment ref="D63" authorId="0">
      <text>
        <r>
          <rPr>
            <sz val="10"/>
            <rFont val="Tahoma"/>
            <family val="2"/>
          </rPr>
          <t>Se si tratta di un titolo in valuta estera, inserire il valore dell'Euro per ogni data di scadenza cedola e alla data della vendita (tutte le celle in azzurro di questa colonna)</t>
        </r>
      </text>
    </comment>
    <comment ref="G63" authorId="0">
      <text>
        <r>
          <rPr>
            <sz val="10"/>
            <rFont val="Tahoma"/>
            <family val="2"/>
          </rPr>
          <t>Flusso di cassa in Euro se il titolo è in valuta estera</t>
        </r>
      </text>
    </comment>
    <comment ref="G60" authorId="0">
      <text>
        <r>
          <rPr>
            <sz val="10"/>
            <rFont val="Tahoma"/>
            <family val="2"/>
          </rPr>
          <t>Rendimento in Euro se il titolo è in valuta estera
Ricordarsi di mettere il cambio in corrispondenza delle date delle cedole (colonna c)</t>
        </r>
      </text>
    </comment>
    <comment ref="G57" authorId="0">
      <text>
        <r>
          <rPr>
            <sz val="10"/>
            <rFont val="Tahoma"/>
            <family val="2"/>
          </rPr>
          <t>Guadagno in Euro se il titolo è in valuta estera</t>
        </r>
      </text>
    </comment>
    <comment ref="F42" authorId="0">
      <text>
        <r>
          <rPr>
            <sz val="10"/>
            <rFont val="Tahoma"/>
            <family val="2"/>
          </rPr>
          <t>Mettere la valuta di Vendita  (data di Vendita + 3 giorni) se si vende prima della scadenza</t>
        </r>
      </text>
    </comment>
    <comment ref="F43" authorId="0">
      <text>
        <r>
          <rPr>
            <sz val="10"/>
            <rFont val="Tahoma"/>
            <family val="2"/>
          </rPr>
          <t>Mettere il prezzo di Vendita se lo si vende prima della scadenza</t>
        </r>
      </text>
    </comment>
    <comment ref="K43" authorId="0">
      <text>
        <r>
          <rPr>
            <sz val="10"/>
            <rFont val="Tahoma"/>
            <family val="2"/>
          </rPr>
          <t>Inserisci qui la spesa per lo stacco della cedola.</t>
        </r>
      </text>
    </comment>
    <comment ref="F23" authorId="0">
      <text>
        <r>
          <rPr>
            <sz val="10"/>
            <rFont val="Tahoma"/>
            <family val="2"/>
          </rPr>
          <t>Valuta dell'operazione (3 giorni lavorativi in più della data dell'operazione oppure 2 in caso di bot)</t>
        </r>
      </text>
    </comment>
    <comment ref="F5" authorId="0">
      <text>
        <r>
          <rPr>
            <sz val="10"/>
            <rFont val="Tahoma"/>
            <family val="2"/>
          </rPr>
          <t>Inserisci il codice Isin in Maiuscolo per effettuare le ricerche</t>
        </r>
      </text>
    </comment>
    <comment ref="F8" authorId="0">
      <text>
        <r>
          <rPr>
            <sz val="10"/>
            <rFont val="Tahoma"/>
            <family val="2"/>
          </rPr>
          <t>Inserisci il prezzo all'emissione: se non lo sai vai al suo regolamento oppure metti 100</t>
        </r>
      </text>
    </comment>
    <comment ref="K22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L22" authorId="0">
      <text>
        <r>
          <rPr>
            <sz val="10"/>
            <rFont val="Tahoma"/>
            <family val="2"/>
          </rPr>
          <t>Inserisci qui le commissioni e le spese in Euro se il tiolo è in valuta estera</t>
        </r>
      </text>
    </comment>
    <comment ref="K35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L35" authorId="0">
      <text>
        <r>
          <rPr>
            <sz val="10"/>
            <rFont val="Tahoma"/>
            <family val="2"/>
          </rPr>
          <t>Inserisci qui le commissioni e le spese in Euro se il titolo è in valuta estera</t>
        </r>
      </text>
    </comment>
    <comment ref="K50" authorId="0">
      <text>
        <r>
          <rPr>
            <sz val="10"/>
            <rFont val="Tahoma"/>
            <family val="2"/>
          </rPr>
          <t>Inserisci qui le tue Minus  attuali se il titolo è in Euro</t>
        </r>
      </text>
    </comment>
    <comment ref="L50" authorId="0">
      <text>
        <r>
          <rPr>
            <sz val="10"/>
            <rFont val="Tahoma"/>
            <family val="2"/>
          </rPr>
          <t>Inserisci qui le tue Minus in Euro se il titolo è in valuta estera</t>
        </r>
      </text>
    </comment>
    <comment ref="K18" authorId="0">
      <text>
        <r>
          <rPr>
            <sz val="10"/>
            <rFont val="Tahoma"/>
            <family val="2"/>
          </rPr>
          <t>Inserisci qui l'importo nominale in Euro o in valuta estera</t>
        </r>
      </text>
    </comment>
    <comment ref="F25" authorId="0">
      <text>
        <r>
          <rPr>
            <sz val="10"/>
            <rFont val="Tahoma"/>
            <family val="2"/>
          </rPr>
          <t>Se la valuta è diversa dall'Euro, allora inserisci le commissioni insieme alle spese in euro nella cella L22</t>
        </r>
      </text>
    </comment>
    <comment ref="F44" authorId="0">
      <text>
        <r>
          <rPr>
            <sz val="10"/>
            <rFont val="Tahoma"/>
            <family val="2"/>
          </rPr>
          <t>Se la valuta è diversa dall'Euro, allora inserisci le commissioni insieme alle spese in euro nella cella L35</t>
        </r>
      </text>
    </comment>
    <comment ref="L43" authorId="1">
      <text>
        <r>
          <rPr>
            <sz val="10"/>
            <rFont val="Arial"/>
            <family val="2"/>
          </rPr>
          <t>Inserisci qui le spese per la cedola in euro nel caso di titolo in valuta estera</t>
        </r>
      </text>
    </comment>
  </commentList>
</comments>
</file>

<file path=xl/comments2.xml><?xml version="1.0" encoding="utf-8"?>
<comments xmlns="http://schemas.openxmlformats.org/spreadsheetml/2006/main">
  <authors>
    <author>Paolo</author>
    <author>P</author>
  </authors>
  <commentList>
    <comment ref="F22" authorId="0">
      <text>
        <r>
          <rPr>
            <sz val="10"/>
            <rFont val="Tahoma"/>
            <family val="2"/>
          </rPr>
          <t>Se si tratta di un titolo in valuta estera inserire il valore dell'Euro corrispondente all' Acquisto</t>
        </r>
        <r>
          <rPr>
            <sz val="8"/>
            <rFont val="Tahoma"/>
            <family val="2"/>
          </rPr>
          <t xml:space="preserve">
</t>
        </r>
      </text>
    </comment>
    <comment ref="D63" authorId="0">
      <text>
        <r>
          <rPr>
            <sz val="10"/>
            <rFont val="Tahoma"/>
            <family val="2"/>
          </rPr>
          <t>Se si tratta di un titolo in valuta estera, inserire il valore dell'Euro per ogni data di scadenza cedola e alla data della vendita (tutte le celle in azzurro di questa colonna)</t>
        </r>
      </text>
    </comment>
    <comment ref="G63" authorId="0">
      <text>
        <r>
          <rPr>
            <sz val="10"/>
            <rFont val="Tahoma"/>
            <family val="2"/>
          </rPr>
          <t>Flusso di cassa in Euro se il titolo è in valuta estera</t>
        </r>
      </text>
    </comment>
    <comment ref="G60" authorId="0">
      <text>
        <r>
          <rPr>
            <sz val="10"/>
            <rFont val="Tahoma"/>
            <family val="2"/>
          </rPr>
          <t>Rendimento in Euro se il titolo è in valuta estera
Ricordarsi di mettere il cambio in corrispondenza delle date delle cedole (colonna c)</t>
        </r>
      </text>
    </comment>
    <comment ref="G57" authorId="0">
      <text>
        <r>
          <rPr>
            <sz val="10"/>
            <rFont val="Tahoma"/>
            <family val="2"/>
          </rPr>
          <t>Guadagno in Euro se il titolo è in valuta estera</t>
        </r>
      </text>
    </comment>
    <comment ref="F42" authorId="0">
      <text>
        <r>
          <rPr>
            <sz val="10"/>
            <rFont val="Tahoma"/>
            <family val="2"/>
          </rPr>
          <t>Mettere la valuta di Vendita  (data di Vendita + 3 giorni) se si vende prima della scadenza</t>
        </r>
      </text>
    </comment>
    <comment ref="F43" authorId="0">
      <text>
        <r>
          <rPr>
            <sz val="10"/>
            <rFont val="Tahoma"/>
            <family val="2"/>
          </rPr>
          <t>Mettere il prezzo di Vendita se lo si vende prima della scadenza</t>
        </r>
      </text>
    </comment>
    <comment ref="K43" authorId="0">
      <text>
        <r>
          <rPr>
            <sz val="10"/>
            <rFont val="Tahoma"/>
            <family val="2"/>
          </rPr>
          <t>Inserisci qui la spesa per lo stacco della cedola.</t>
        </r>
      </text>
    </comment>
    <comment ref="F23" authorId="0">
      <text>
        <r>
          <rPr>
            <sz val="10"/>
            <rFont val="Tahoma"/>
            <family val="2"/>
          </rPr>
          <t>Valuta dell'operazione (3 giorni lavorativi in più della data dell'operazione oppure 2 in caso di bot)</t>
        </r>
      </text>
    </comment>
    <comment ref="F5" authorId="0">
      <text>
        <r>
          <rPr>
            <sz val="10"/>
            <rFont val="Tahoma"/>
            <family val="2"/>
          </rPr>
          <t>Inserisci il codice Isin in Maiuscolo per effettuare le ricerche</t>
        </r>
      </text>
    </comment>
    <comment ref="F8" authorId="0">
      <text>
        <r>
          <rPr>
            <sz val="10"/>
            <rFont val="Tahoma"/>
            <family val="2"/>
          </rPr>
          <t>Inserisci il prezzo all'emissione: se non lo sai vai al suo regolamento oppure metti 100</t>
        </r>
      </text>
    </comment>
    <comment ref="K22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L22" authorId="0">
      <text>
        <r>
          <rPr>
            <sz val="10"/>
            <rFont val="Tahoma"/>
            <family val="2"/>
          </rPr>
          <t>Inserisci qui le commissioni e le spese in Euro se il tiolo è in valuta estera</t>
        </r>
      </text>
    </comment>
    <comment ref="K35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L35" authorId="0">
      <text>
        <r>
          <rPr>
            <sz val="10"/>
            <rFont val="Tahoma"/>
            <family val="2"/>
          </rPr>
          <t>Inserisci qui le commissioni e le spese in Euro se il titolo è in valuta estera</t>
        </r>
      </text>
    </comment>
    <comment ref="K50" authorId="0">
      <text>
        <r>
          <rPr>
            <sz val="10"/>
            <rFont val="Tahoma"/>
            <family val="2"/>
          </rPr>
          <t>Inserisci qui le tue Minus  attuali se il titolo è in Euro</t>
        </r>
      </text>
    </comment>
    <comment ref="L50" authorId="0">
      <text>
        <r>
          <rPr>
            <sz val="10"/>
            <rFont val="Tahoma"/>
            <family val="2"/>
          </rPr>
          <t>Inserisci qui le tue Minus in Euro se il titolo è in valuta estera</t>
        </r>
      </text>
    </comment>
    <comment ref="K18" authorId="0">
      <text>
        <r>
          <rPr>
            <sz val="10"/>
            <rFont val="Tahoma"/>
            <family val="2"/>
          </rPr>
          <t>Inserisci qui l'importo nominale in Euro o in valuta estera</t>
        </r>
      </text>
    </comment>
    <comment ref="F25" authorId="0">
      <text>
        <r>
          <rPr>
            <sz val="10"/>
            <rFont val="Tahoma"/>
            <family val="2"/>
          </rPr>
          <t>Se la valuta è diversa dall'Euro, allora inserisci le commissioni insieme alle spese in euro nella cella L22</t>
        </r>
      </text>
    </comment>
    <comment ref="F44" authorId="0">
      <text>
        <r>
          <rPr>
            <sz val="10"/>
            <rFont val="Tahoma"/>
            <family val="2"/>
          </rPr>
          <t>Se la valuta è diversa dall'Euro, allora inserisci le commissioni insieme alle spese in euro nella cella L35</t>
        </r>
      </text>
    </comment>
    <comment ref="L43" authorId="1">
      <text>
        <r>
          <rPr>
            <sz val="10"/>
            <rFont val="Arial"/>
            <family val="2"/>
          </rPr>
          <t>Inserisci qui le spese per la cedola in euro nel caso di titolo in valuta estera</t>
        </r>
      </text>
    </comment>
    <comment ref="F11" authorId="1">
      <text>
        <r>
          <rPr>
            <sz val="10"/>
            <rFont val="Tahoma"/>
            <family val="2"/>
          </rPr>
          <t>Il numero di cedole annuali possono essere: 1 , 2, 4</t>
        </r>
      </text>
    </comment>
  </commentList>
</comments>
</file>

<file path=xl/comments3.xml><?xml version="1.0" encoding="utf-8"?>
<comments xmlns="http://schemas.openxmlformats.org/spreadsheetml/2006/main">
  <authors>
    <author>Paolo</author>
  </authors>
  <commentList>
    <comment ref="F35" authorId="0">
      <text>
        <r>
          <rPr>
            <sz val="10"/>
            <rFont val="Tahoma"/>
            <family val="2"/>
          </rPr>
          <t>Mettere la valuta di Vendita  (data di Vendita + 3 giorni) se si vende prima della scadenza</t>
        </r>
      </text>
    </comment>
    <comment ref="F36" authorId="0">
      <text>
        <r>
          <rPr>
            <sz val="10"/>
            <rFont val="Tahoma"/>
            <family val="2"/>
          </rPr>
          <t>Mettere il prezzo di Vendita se lo si vende prima della scadenza</t>
        </r>
      </text>
    </comment>
    <comment ref="P32" authorId="0">
      <text>
        <r>
          <rPr>
            <sz val="10"/>
            <rFont val="Tahoma"/>
            <family val="2"/>
          </rPr>
          <t>Inserisci qui la spesa per lo stacco della cedola</t>
        </r>
      </text>
    </comment>
    <comment ref="F17" authorId="0">
      <text>
        <r>
          <rPr>
            <sz val="10"/>
            <rFont val="Tahoma"/>
            <family val="2"/>
          </rPr>
          <t>Valuta dell'operazione (3 giorni lavorativi in più della data dell'operazione)</t>
        </r>
      </text>
    </comment>
    <comment ref="F5" authorId="0">
      <text>
        <r>
          <rPr>
            <sz val="10"/>
            <rFont val="Tahoma"/>
            <family val="2"/>
          </rPr>
          <t>Inserisci il codice Isin in Maiuscolo per effettuare le ricerche</t>
        </r>
      </text>
    </comment>
    <comment ref="F8" authorId="0">
      <text>
        <r>
          <rPr>
            <sz val="10"/>
            <rFont val="Tahoma"/>
            <family val="2"/>
          </rPr>
          <t>Inserisci il prezzo all'emissione: se non lo sai vai al suo regolamento oppure metti 100</t>
        </r>
      </text>
    </comment>
    <comment ref="P10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P23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P39" authorId="0">
      <text>
        <r>
          <rPr>
            <sz val="10"/>
            <rFont val="Tahoma"/>
            <family val="2"/>
          </rPr>
          <t>Inserisci qui le tue Minus attuali se il titolo è in Euro</t>
        </r>
      </text>
    </comment>
    <comment ref="P6" authorId="0">
      <text>
        <r>
          <rPr>
            <sz val="10"/>
            <rFont val="Tahoma"/>
            <family val="2"/>
          </rPr>
          <t>Inserisci qui l'importo nominale in Euro o in valuta estera</t>
        </r>
      </text>
    </comment>
  </commentList>
</comments>
</file>

<file path=xl/comments4.xml><?xml version="1.0" encoding="utf-8"?>
<comments xmlns="http://schemas.openxmlformats.org/spreadsheetml/2006/main">
  <authors>
    <author>Paolo</author>
  </authors>
  <commentList>
    <comment ref="F42" authorId="0">
      <text>
        <r>
          <rPr>
            <sz val="10"/>
            <rFont val="Tahoma"/>
            <family val="2"/>
          </rPr>
          <t>Mettere la valuta di Vendita  (data di Vendita + 3 giorni) se si vende prima della scadenza</t>
        </r>
      </text>
    </comment>
    <comment ref="F43" authorId="0">
      <text>
        <r>
          <rPr>
            <sz val="10"/>
            <rFont val="Tahoma"/>
            <family val="2"/>
          </rPr>
          <t>Mettere il prezzo di Vendita se lo si vende prima della scadenza</t>
        </r>
      </text>
    </comment>
    <comment ref="M41" authorId="0">
      <text>
        <r>
          <rPr>
            <sz val="10"/>
            <rFont val="Tahoma"/>
            <family val="2"/>
          </rPr>
          <t>Inserisci qui la spesa per lo stacco della cedola se il titolo è espresso in Euro</t>
        </r>
      </text>
    </comment>
    <comment ref="F25" authorId="0">
      <text>
        <r>
          <rPr>
            <sz val="10"/>
            <rFont val="Tahoma"/>
            <family val="2"/>
          </rPr>
          <t>Valuta dell'operazione (3 giorni lavorativi in più della data dell'operazione)</t>
        </r>
      </text>
    </comment>
    <comment ref="F5" authorId="0">
      <text>
        <r>
          <rPr>
            <sz val="10"/>
            <rFont val="Tahoma"/>
            <family val="2"/>
          </rPr>
          <t>Inserisci il codice Isin in Maiuscolo per effettuare le ricerche</t>
        </r>
      </text>
    </comment>
    <comment ref="F7" authorId="0">
      <text>
        <r>
          <rPr>
            <sz val="10"/>
            <rFont val="Tahoma"/>
            <family val="2"/>
          </rPr>
          <t>Inserisci il prezzo all'emissione: se non lo sai vai al suo regolamento oppure metti 100</t>
        </r>
      </text>
    </comment>
    <comment ref="M20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M33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M49" authorId="0">
      <text>
        <r>
          <rPr>
            <sz val="10"/>
            <rFont val="Tahoma"/>
            <family val="2"/>
          </rPr>
          <t>Inserisci qui le tue Minus attuali se il titolo è in Euro</t>
        </r>
      </text>
    </comment>
    <comment ref="M16" authorId="0">
      <text>
        <r>
          <rPr>
            <sz val="10"/>
            <rFont val="Tahoma"/>
            <family val="2"/>
          </rPr>
          <t>Inserisci qui l'importo nominale in Euro o in valuta estera</t>
        </r>
      </text>
    </comment>
  </commentList>
</comments>
</file>

<file path=xl/comments5.xml><?xml version="1.0" encoding="utf-8"?>
<comments xmlns="http://schemas.openxmlformats.org/spreadsheetml/2006/main">
  <authors>
    <author>Paolo</author>
  </authors>
  <commentList>
    <comment ref="F41" authorId="0">
      <text>
        <r>
          <rPr>
            <sz val="10"/>
            <rFont val="Tahoma"/>
            <family val="2"/>
          </rPr>
          <t>Mettere la valuta di Vendita  (data di Vendita + 3 giorni) se si vende prima della scadenza</t>
        </r>
      </text>
    </comment>
    <comment ref="F42" authorId="0">
      <text>
        <r>
          <rPr>
            <sz val="10"/>
            <rFont val="Tahoma"/>
            <family val="2"/>
          </rPr>
          <t>Mettere il prezzo di Vendita se lo si vende prima della scadenza</t>
        </r>
      </text>
    </comment>
    <comment ref="M41" authorId="0">
      <text>
        <r>
          <rPr>
            <sz val="10"/>
            <rFont val="Tahoma"/>
            <family val="2"/>
          </rPr>
          <t>Inserisci qui la spesa per lo stacco della cedola se il titolo è espresso in Euro</t>
        </r>
      </text>
    </comment>
    <comment ref="F24" authorId="0">
      <text>
        <r>
          <rPr>
            <sz val="10"/>
            <rFont val="Tahoma"/>
            <family val="2"/>
          </rPr>
          <t>Valuta dell'operazione (3 giorni lavorativi in più della data dell'operazione)</t>
        </r>
      </text>
    </comment>
    <comment ref="F5" authorId="0">
      <text>
        <r>
          <rPr>
            <sz val="10"/>
            <rFont val="Tahoma"/>
            <family val="2"/>
          </rPr>
          <t>Inserisci il codice Isin in Maiuscolo per effettuare le ricerche</t>
        </r>
      </text>
    </comment>
    <comment ref="F7" authorId="0">
      <text>
        <r>
          <rPr>
            <sz val="10"/>
            <rFont val="Tahoma"/>
            <family val="2"/>
          </rPr>
          <t>Inserisci il prezzo all'emissione: se non lo sai vai al suo regolamento oppure metti 100</t>
        </r>
      </text>
    </comment>
    <comment ref="M20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M33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M49" authorId="0">
      <text>
        <r>
          <rPr>
            <sz val="10"/>
            <rFont val="Tahoma"/>
            <family val="2"/>
          </rPr>
          <t>Inserisci qui le tue Minus attuali se il titolo è in Euro</t>
        </r>
      </text>
    </comment>
    <comment ref="M16" authorId="0">
      <text>
        <r>
          <rPr>
            <sz val="10"/>
            <rFont val="Tahoma"/>
            <family val="2"/>
          </rPr>
          <t>Inserisci qui l'importo nominale in Euro o in valuta estera</t>
        </r>
      </text>
    </comment>
  </commentList>
</comments>
</file>

<file path=xl/comments6.xml><?xml version="1.0" encoding="utf-8"?>
<comments xmlns="http://schemas.openxmlformats.org/spreadsheetml/2006/main">
  <authors>
    <author>Paolo</author>
  </authors>
  <commentList>
    <comment ref="F42" authorId="0">
      <text>
        <r>
          <rPr>
            <sz val="10"/>
            <rFont val="Tahoma"/>
            <family val="2"/>
          </rPr>
          <t>Mettere la valuta di Vendita  (data di Vendita + 3 giorni) se si vende prima della scadenza</t>
        </r>
      </text>
    </comment>
    <comment ref="F43" authorId="0">
      <text>
        <r>
          <rPr>
            <sz val="10"/>
            <rFont val="Tahoma"/>
            <family val="2"/>
          </rPr>
          <t>Mettere il prezzo di Vendita se lo si vende prima della scadenza</t>
        </r>
      </text>
    </comment>
    <comment ref="M41" authorId="0">
      <text>
        <r>
          <rPr>
            <sz val="10"/>
            <rFont val="Tahoma"/>
            <family val="2"/>
          </rPr>
          <t>Inserisci qui la spesa per lo stacco della cedola se il titolo è espresso in Euro</t>
        </r>
      </text>
    </comment>
    <comment ref="F25" authorId="0">
      <text>
        <r>
          <rPr>
            <sz val="10"/>
            <rFont val="Tahoma"/>
            <family val="2"/>
          </rPr>
          <t>Valuta dell'operazione (3 giorni lavorativi in più della data dell'operazione)</t>
        </r>
      </text>
    </comment>
    <comment ref="F5" authorId="0">
      <text>
        <r>
          <rPr>
            <sz val="10"/>
            <rFont val="Tahoma"/>
            <family val="2"/>
          </rPr>
          <t>Inserisci il codice Isin in Maiuscolo per effettuare le ricerche</t>
        </r>
      </text>
    </comment>
    <comment ref="F7" authorId="0">
      <text>
        <r>
          <rPr>
            <sz val="10"/>
            <rFont val="Tahoma"/>
            <family val="2"/>
          </rPr>
          <t>Inserisci il prezzo all'emissione: se non lo sai vai al suo regolamento oppure metti 100</t>
        </r>
      </text>
    </comment>
    <comment ref="M20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M33" authorId="0">
      <text>
        <r>
          <rPr>
            <sz val="10"/>
            <rFont val="Tahoma"/>
            <family val="2"/>
          </rPr>
          <t>Inserisci qui le spese se il titolo è in Euro</t>
        </r>
      </text>
    </comment>
    <comment ref="M49" authorId="0">
      <text>
        <r>
          <rPr>
            <sz val="10"/>
            <rFont val="Tahoma"/>
            <family val="2"/>
          </rPr>
          <t>Inserisci qui le tue Minus attuali se il titolo è in Euro</t>
        </r>
      </text>
    </comment>
    <comment ref="M16" authorId="0">
      <text>
        <r>
          <rPr>
            <sz val="10"/>
            <rFont val="Tahoma"/>
            <family val="2"/>
          </rPr>
          <t>Inserisci qui l'importo nominale in Euro o in valuta estera</t>
        </r>
      </text>
    </comment>
  </commentList>
</comments>
</file>

<file path=xl/sharedStrings.xml><?xml version="1.0" encoding="utf-8"?>
<sst xmlns="http://schemas.openxmlformats.org/spreadsheetml/2006/main" count="657" uniqueCount="152">
  <si>
    <t>Plus (+) Minus (-) Valenza Realizzata %</t>
  </si>
  <si>
    <t>Imposta 12,5% sulla Plus Valenza</t>
  </si>
  <si>
    <t>Imponibile</t>
  </si>
  <si>
    <t>Prezzo di Carico per il Cap Gain</t>
  </si>
  <si>
    <t>Spese fisse d'Istituto + Bolli</t>
  </si>
  <si>
    <t>Vendita/Scadenza con cedola</t>
  </si>
  <si>
    <t>Prezzo vendita</t>
  </si>
  <si>
    <t>Prezzo di Mercato (Corso secco Lordo)</t>
  </si>
  <si>
    <t>Da compilare solo se lo vendi prima della scadenza</t>
  </si>
  <si>
    <t>Rendimento su base annua
al lordo delle ritenuta fiscale</t>
  </si>
  <si>
    <t>Rendimento Netto
su base annua</t>
  </si>
  <si>
    <t>Rendimento su base annua
al lordo della ritenuta fiscale</t>
  </si>
  <si>
    <t>Prezzo scadenza Lordo</t>
  </si>
  <si>
    <t>Flusso
Euro</t>
  </si>
  <si>
    <t>Disaggio Lordo</t>
  </si>
  <si>
    <t>IMPORTI</t>
  </si>
  <si>
    <t>ALL'ACQUISTO</t>
  </si>
  <si>
    <t>VENDITA/SCADENZA</t>
  </si>
  <si>
    <t>Cambio
1 Euro =</t>
  </si>
  <si>
    <t>Se hai inserito il codice Isin nella cella F5</t>
  </si>
  <si>
    <t>e se il titolo è quotato al Mot o EuroMot</t>
  </si>
  <si>
    <t>Imposta sul disaggio</t>
  </si>
  <si>
    <t>Imposta sulla Plus Valenza</t>
  </si>
  <si>
    <t>Imposta su disaggio</t>
  </si>
  <si>
    <t>Prezzo di Scarico per il Capital Gain</t>
  </si>
  <si>
    <t>Importo Tot Lordo Accreditato alla</t>
  </si>
  <si>
    <t>ANAGRAFICA TITOLO</t>
  </si>
  <si>
    <t>Specifica il rimborso Capitale</t>
  </si>
  <si>
    <t>Anticipato</t>
  </si>
  <si>
    <t>A Scadenza</t>
  </si>
  <si>
    <t>Rimborso</t>
  </si>
  <si>
    <t>IMPORTO TOT AL NETTO DELLA
TASSA SULLA PLUSVALENZA</t>
  </si>
  <si>
    <t>Prezzo di rimborso</t>
  </si>
  <si>
    <t>Minus Valenze esistenti in portafoglio</t>
  </si>
  <si>
    <t>Prezzo netto a scadenza</t>
  </si>
  <si>
    <t>Minus Valenza Rimanente</t>
  </si>
  <si>
    <t>cod ISIN (maiuscolo) =&gt;</t>
  </si>
  <si>
    <t>Durata (anni)</t>
  </si>
  <si>
    <t>Tasso Lordo Interno</t>
  </si>
  <si>
    <t>Prezzo Teorico</t>
  </si>
  <si>
    <t>Titolo a tasso fisso con massimo 80 cedole</t>
  </si>
  <si>
    <t>Valore Cedola Netta Futura</t>
  </si>
  <si>
    <t>Commissioni % sul prezzo di VENDITA</t>
  </si>
  <si>
    <t>Percento</t>
  </si>
  <si>
    <t>N°</t>
  </si>
  <si>
    <t>Durata</t>
  </si>
  <si>
    <t>Scadenza</t>
  </si>
  <si>
    <t>Data ultima cedola</t>
  </si>
  <si>
    <t>Data prossima cedola</t>
  </si>
  <si>
    <t>Guadagno Netto</t>
  </si>
  <si>
    <t>Cedola
Netta</t>
  </si>
  <si>
    <t>Rendimento Medio</t>
  </si>
  <si>
    <t>Data
Flusso Capitale</t>
  </si>
  <si>
    <t>Flusso Capitale</t>
  </si>
  <si>
    <t>Commissioni % sul prezzo di ACQUISTO</t>
  </si>
  <si>
    <t>Cedola Annuale in Corso in fase di acquisto</t>
  </si>
  <si>
    <t>Cedola Netta sul Capitale</t>
  </si>
  <si>
    <t>Cedola Lorda in Corso</t>
  </si>
  <si>
    <t>Data Prossima Cedola</t>
  </si>
  <si>
    <t>30/360</t>
  </si>
  <si>
    <t>act/act</t>
  </si>
  <si>
    <t>Effettiva/360</t>
  </si>
  <si>
    <t>Effettiva/365</t>
  </si>
  <si>
    <t>cedolare</t>
  </si>
  <si>
    <t>Perc.</t>
  </si>
  <si>
    <t>in corrispondenza delle date</t>
  </si>
  <si>
    <t>Spesa fissa per Cedola</t>
  </si>
  <si>
    <t>Data Emissione</t>
  </si>
  <si>
    <t>Prezzo Emissione</t>
  </si>
  <si>
    <t>Scarto d'emissione Lordo</t>
  </si>
  <si>
    <t>Rateo Lordo</t>
  </si>
  <si>
    <t>Imp. 12,5% su disaggio</t>
  </si>
  <si>
    <t>Imp. 12,5% sul rateo</t>
  </si>
  <si>
    <t>Imposta 12,5% sul disaggio</t>
  </si>
  <si>
    <t>Corso Super Secco</t>
  </si>
  <si>
    <t>Importo  Secco</t>
  </si>
  <si>
    <t>Disaggio Lordo dall'emissione</t>
  </si>
  <si>
    <t>Prezzo Teorico Fiscale di Emissione</t>
  </si>
  <si>
    <t>Rendimento Annuale Netto
su base annua</t>
  </si>
  <si>
    <t>Rendimento annuale su base annua
al lordo della ritenuta fiscale</t>
  </si>
  <si>
    <t>a=</t>
  </si>
  <si>
    <t>Tasso Swap</t>
  </si>
  <si>
    <t>Differenza tassi Swap</t>
  </si>
  <si>
    <t>Cedola Massima %</t>
  </si>
  <si>
    <t>Cedola Minima %</t>
  </si>
  <si>
    <t>Imp 12,5% sulla Plus Realizzata</t>
  </si>
  <si>
    <t>Plus (+) Minus (-) Valenza Realizzata</t>
  </si>
  <si>
    <t>Imposta sul rateo</t>
  </si>
  <si>
    <t>Imposta sulla Plus Realizzata</t>
  </si>
  <si>
    <t>Convenzione per il calcolo
del rateo cedolare</t>
  </si>
  <si>
    <t>Imposta</t>
  </si>
  <si>
    <t>Convenzione per il calcolo
del rateo disaggio</t>
  </si>
  <si>
    <t>Tasso annuale</t>
  </si>
  <si>
    <t>Bot</t>
  </si>
  <si>
    <t>Con cedola fissa</t>
  </si>
  <si>
    <t>Commissioni % sul nominale</t>
  </si>
  <si>
    <t>Commissioni % sul prezzo di acquisto</t>
  </si>
  <si>
    <t>http://www.borsaitaliana.it/borsa/quotazioni/obbligazioni/obbligazioni-in-euro/dati-completi.html?isin=</t>
  </si>
  <si>
    <t>Titolo step-up/down con massimo 30 cedole  -- Valido solo per valuta in Euro</t>
  </si>
  <si>
    <t>Titolo Reverse Floater con massimo 60 cedole -- Valido solo per valuta in Euro</t>
  </si>
  <si>
    <t>Titolo CMS con massimo 60 cedole -- Valido solo per valuta in Euro</t>
  </si>
  <si>
    <t>Data Acquisto (data del regolamento)</t>
  </si>
  <si>
    <t>Data  vendita (data del regolamento)</t>
  </si>
  <si>
    <t>Zero Coupon</t>
  </si>
  <si>
    <t>Con cedola Fissa</t>
  </si>
  <si>
    <t>Dati Relativi all'acquisto</t>
  </si>
  <si>
    <t>Dati Relativi alla Vendita</t>
  </si>
  <si>
    <t>Titolo a tasso variabile con massimo 40 cedole</t>
  </si>
  <si>
    <t>Sviluppo Cedolare
Previsto o Consuntivato</t>
  </si>
  <si>
    <t>Cedola In corso</t>
  </si>
  <si>
    <t>Capitale %</t>
  </si>
  <si>
    <t>N° Cedole Annuali</t>
  </si>
  <si>
    <t>Lorda</t>
  </si>
  <si>
    <t>Commissioni Minime</t>
  </si>
  <si>
    <t>Commissioni Massime</t>
  </si>
  <si>
    <t>Tipo dell'obbligazione</t>
  </si>
  <si>
    <t>http://www.borsaitaliana.it/bitApp/caratteristiche.bit?target=Download&amp;isin=</t>
  </si>
  <si>
    <t>Titolo Steepener con massimo 60 cedole -- Valido solo per valuta in Euro</t>
  </si>
  <si>
    <t>Inserisci delle cedole e dell'eventuale rimborso</t>
  </si>
  <si>
    <t>Tasso Cedola in Corso</t>
  </si>
  <si>
    <t>a%=</t>
  </si>
  <si>
    <t>b=</t>
  </si>
  <si>
    <t>Risultato Formula</t>
  </si>
  <si>
    <t>Tasso Libor</t>
  </si>
  <si>
    <t>Rimb.</t>
  </si>
  <si>
    <t>Netto</t>
  </si>
  <si>
    <t>Dati relativi alla vendita</t>
  </si>
  <si>
    <t>Inserire le eventuali</t>
  </si>
  <si>
    <t>cedole fisse nelle</t>
  </si>
  <si>
    <t>date corrispondenti</t>
  </si>
  <si>
    <t>Data Fiscale di Emissione</t>
  </si>
  <si>
    <t>Importo netto</t>
  </si>
  <si>
    <t>Rateo Netto</t>
  </si>
  <si>
    <t>Prezzo Acquisto finale</t>
  </si>
  <si>
    <t>Rendimenti</t>
  </si>
  <si>
    <t>Cambio 1 Euro =</t>
  </si>
  <si>
    <t>Flusso 
Euro</t>
  </si>
  <si>
    <t>Data</t>
  </si>
  <si>
    <t>Cedola</t>
  </si>
  <si>
    <t>Nome Titolo =&gt;</t>
  </si>
  <si>
    <t>Importo Nominale</t>
  </si>
  <si>
    <t>Valuta</t>
  </si>
  <si>
    <t>Euro</t>
  </si>
  <si>
    <t>Com Banc Importo</t>
  </si>
  <si>
    <t>Importo Tot Pagato</t>
  </si>
  <si>
    <t>Valore Cedola Netta</t>
  </si>
  <si>
    <t>Importo a scadenza</t>
  </si>
  <si>
    <t>Convenzione per il calcolo</t>
  </si>
  <si>
    <t>dei giorni del rateo</t>
  </si>
  <si>
    <t>Convenzione per il calcolo del rateo</t>
  </si>
  <si>
    <t>Data Prossima cedola</t>
  </si>
  <si>
    <t>ACQUISTO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</si>
</sst>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/yy;@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"/>
    <numFmt numFmtId="178" formatCode="0.000%"/>
    <numFmt numFmtId="179" formatCode="0.0000"/>
    <numFmt numFmtId="180" formatCode="0.0%"/>
    <numFmt numFmtId="181" formatCode="0.0"/>
    <numFmt numFmtId="182" formatCode="h\.mm\.ss"/>
    <numFmt numFmtId="183" formatCode="0.00000"/>
    <numFmt numFmtId="184" formatCode="#,##0.000"/>
    <numFmt numFmtId="185" formatCode="0.000000"/>
    <numFmt numFmtId="186" formatCode="#,##0.00000"/>
    <numFmt numFmtId="187" formatCode="\+0.00"/>
    <numFmt numFmtId="188" formatCode="0.0000000"/>
    <numFmt numFmtId="189" formatCode="#,##0.0000000"/>
    <numFmt numFmtId="190" formatCode="&quot;€&quot;\ #,##0.0000000"/>
    <numFmt numFmtId="191" formatCode="0.00000%"/>
    <numFmt numFmtId="192" formatCode="[$-410]d\ mmmm\ yyyy;@"/>
    <numFmt numFmtId="193" formatCode="0.0000000%"/>
    <numFmt numFmtId="194" formatCode="#,##0.0000"/>
    <numFmt numFmtId="195" formatCode="#,##0.00000000"/>
    <numFmt numFmtId="196" formatCode="0.00000000"/>
    <numFmt numFmtId="197" formatCode="#,##0.000000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sz val="10"/>
      <name val="Tahoma"/>
      <family val="2"/>
    </font>
    <font>
      <b/>
      <sz val="10"/>
      <name val="Arial"/>
      <family val="0"/>
    </font>
    <font>
      <u val="single"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15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0" fillId="4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2" fontId="1" fillId="8" borderId="10" xfId="0" applyNumberFormat="1" applyFont="1" applyFill="1" applyBorder="1" applyAlignment="1" applyProtection="1">
      <alignment horizontal="right"/>
      <protection locked="0"/>
    </xf>
    <xf numFmtId="179" fontId="1" fillId="0" borderId="10" xfId="0" applyNumberFormat="1" applyFont="1" applyFill="1" applyBorder="1" applyAlignment="1" applyProtection="1">
      <alignment/>
      <protection locked="0"/>
    </xf>
    <xf numFmtId="179" fontId="1" fillId="17" borderId="10" xfId="0" applyNumberFormat="1" applyFont="1" applyFill="1" applyBorder="1" applyAlignment="1" applyProtection="1">
      <alignment/>
      <protection locked="0"/>
    </xf>
    <xf numFmtId="14" fontId="1" fillId="8" borderId="10" xfId="0" applyNumberFormat="1" applyFont="1" applyFill="1" applyBorder="1" applyAlignment="1" applyProtection="1">
      <alignment/>
      <protection locked="0"/>
    </xf>
    <xf numFmtId="0" fontId="1" fillId="8" borderId="10" xfId="0" applyFont="1" applyFill="1" applyBorder="1" applyAlignment="1" applyProtection="1">
      <alignment/>
      <protection locked="0"/>
    </xf>
    <xf numFmtId="178" fontId="1" fillId="8" borderId="10" xfId="0" applyNumberFormat="1" applyFont="1" applyFill="1" applyBorder="1" applyAlignment="1" applyProtection="1">
      <alignment/>
      <protection locked="0"/>
    </xf>
    <xf numFmtId="10" fontId="1" fillId="8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4" fontId="4" fillId="8" borderId="10" xfId="0" applyNumberFormat="1" applyFont="1" applyFill="1" applyBorder="1" applyAlignment="1" applyProtection="1">
      <alignment/>
      <protection locked="0"/>
    </xf>
    <xf numFmtId="4" fontId="1" fillId="8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0" fontId="1" fillId="0" borderId="10" xfId="0" applyNumberFormat="1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" fillId="16" borderId="10" xfId="0" applyNumberFormat="1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177" fontId="1" fillId="16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10" fontId="4" fillId="0" borderId="10" xfId="0" applyNumberFormat="1" applyFont="1" applyBorder="1" applyAlignment="1" applyProtection="1">
      <alignment/>
      <protection/>
    </xf>
    <xf numFmtId="10" fontId="4" fillId="16" borderId="10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172" fontId="1" fillId="0" borderId="14" xfId="0" applyNumberFormat="1" applyFont="1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Alignment="1" applyProtection="1">
      <alignment/>
      <protection/>
    </xf>
    <xf numFmtId="172" fontId="1" fillId="0" borderId="15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10" fontId="1" fillId="0" borderId="0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0" fontId="1" fillId="0" borderId="0" xfId="0" applyNumberFormat="1" applyFont="1" applyFill="1" applyBorder="1" applyAlignment="1" applyProtection="1">
      <alignment horizontal="center"/>
      <protection/>
    </xf>
    <xf numFmtId="10" fontId="1" fillId="0" borderId="10" xfId="0" applyNumberFormat="1" applyFont="1" applyBorder="1" applyAlignment="1" applyProtection="1">
      <alignment horizontal="left"/>
      <protection/>
    </xf>
    <xf numFmtId="172" fontId="1" fillId="0" borderId="0" xfId="0" applyNumberFormat="1" applyFont="1" applyFill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/>
      <protection/>
    </xf>
    <xf numFmtId="177" fontId="1" fillId="0" borderId="10" xfId="0" applyNumberFormat="1" applyFont="1" applyBorder="1" applyAlignment="1" applyProtection="1">
      <alignment/>
      <protection/>
    </xf>
    <xf numFmtId="10" fontId="1" fillId="16" borderId="10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10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1" fillId="17" borderId="10" xfId="0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wrapText="1"/>
      <protection/>
    </xf>
    <xf numFmtId="2" fontId="1" fillId="0" borderId="10" xfId="0" applyNumberFormat="1" applyFont="1" applyBorder="1" applyAlignment="1" applyProtection="1">
      <alignment wrapText="1"/>
      <protection/>
    </xf>
    <xf numFmtId="0" fontId="1" fillId="16" borderId="10" xfId="0" applyFont="1" applyFill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wrapText="1"/>
      <protection/>
    </xf>
    <xf numFmtId="14" fontId="1" fillId="0" borderId="10" xfId="0" applyNumberFormat="1" applyFont="1" applyBorder="1" applyAlignment="1" applyProtection="1">
      <alignment horizontal="center"/>
      <protection/>
    </xf>
    <xf numFmtId="2" fontId="1" fillId="0" borderId="15" xfId="0" applyNumberFormat="1" applyFont="1" applyBorder="1" applyAlignment="1" applyProtection="1">
      <alignment wrapText="1"/>
      <protection/>
    </xf>
    <xf numFmtId="2" fontId="1" fillId="0" borderId="15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16" borderId="10" xfId="0" applyNumberFormat="1" applyFont="1" applyFill="1" applyBorder="1" applyAlignment="1" applyProtection="1">
      <alignment/>
      <protection/>
    </xf>
    <xf numFmtId="14" fontId="1" fillId="0" borderId="18" xfId="0" applyNumberFormat="1" applyFont="1" applyFill="1" applyBorder="1" applyAlignment="1" applyProtection="1">
      <alignment/>
      <protection/>
    </xf>
    <xf numFmtId="14" fontId="1" fillId="0" borderId="15" xfId="0" applyNumberFormat="1" applyFont="1" applyFill="1" applyBorder="1" applyAlignment="1" applyProtection="1">
      <alignment/>
      <protection/>
    </xf>
    <xf numFmtId="177" fontId="7" fillId="0" borderId="18" xfId="0" applyNumberFormat="1" applyFont="1" applyFill="1" applyBorder="1" applyAlignment="1" applyProtection="1">
      <alignment horizontal="center" vertical="center"/>
      <protection/>
    </xf>
    <xf numFmtId="177" fontId="1" fillId="0" borderId="18" xfId="0" applyNumberFormat="1" applyFont="1" applyFill="1" applyBorder="1" applyAlignment="1" applyProtection="1">
      <alignment/>
      <protection/>
    </xf>
    <xf numFmtId="10" fontId="1" fillId="0" borderId="0" xfId="0" applyNumberFormat="1" applyFont="1" applyFill="1" applyBorder="1" applyAlignment="1" applyProtection="1">
      <alignment/>
      <protection/>
    </xf>
    <xf numFmtId="10" fontId="1" fillId="0" borderId="18" xfId="0" applyNumberFormat="1" applyFont="1" applyFill="1" applyBorder="1" applyAlignment="1" applyProtection="1">
      <alignment/>
      <protection/>
    </xf>
    <xf numFmtId="10" fontId="1" fillId="0" borderId="15" xfId="0" applyNumberFormat="1" applyFont="1" applyFill="1" applyBorder="1" applyAlignment="1" applyProtection="1">
      <alignment/>
      <protection/>
    </xf>
    <xf numFmtId="177" fontId="1" fillId="0" borderId="18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18" xfId="0" applyNumberFormat="1" applyFont="1" applyBorder="1" applyAlignment="1" applyProtection="1">
      <alignment/>
      <protection/>
    </xf>
    <xf numFmtId="2" fontId="1" fillId="0" borderId="18" xfId="0" applyNumberFormat="1" applyFont="1" applyBorder="1" applyAlignment="1" applyProtection="1">
      <alignment/>
      <protection/>
    </xf>
    <xf numFmtId="10" fontId="1" fillId="0" borderId="18" xfId="0" applyNumberFormat="1" applyFont="1" applyBorder="1" applyAlignment="1" applyProtection="1">
      <alignment/>
      <protection/>
    </xf>
    <xf numFmtId="10" fontId="1" fillId="0" borderId="15" xfId="0" applyNumberFormat="1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/>
      <protection/>
    </xf>
    <xf numFmtId="10" fontId="4" fillId="0" borderId="18" xfId="0" applyNumberFormat="1" applyFont="1" applyBorder="1" applyAlignment="1" applyProtection="1">
      <alignment/>
      <protection/>
    </xf>
    <xf numFmtId="10" fontId="4" fillId="0" borderId="15" xfId="0" applyNumberFormat="1" applyFont="1" applyBorder="1" applyAlignment="1" applyProtection="1">
      <alignment/>
      <protection/>
    </xf>
    <xf numFmtId="10" fontId="4" fillId="0" borderId="23" xfId="0" applyNumberFormat="1" applyFont="1" applyBorder="1" applyAlignment="1" applyProtection="1">
      <alignment/>
      <protection/>
    </xf>
    <xf numFmtId="10" fontId="4" fillId="0" borderId="21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wrapText="1"/>
      <protection/>
    </xf>
    <xf numFmtId="2" fontId="1" fillId="0" borderId="18" xfId="0" applyNumberFormat="1" applyFont="1" applyBorder="1" applyAlignment="1" applyProtection="1">
      <alignment wrapText="1"/>
      <protection/>
    </xf>
    <xf numFmtId="14" fontId="1" fillId="0" borderId="10" xfId="0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2" fontId="1" fillId="0" borderId="24" xfId="0" applyNumberFormat="1" applyFont="1" applyBorder="1" applyAlignment="1" applyProtection="1">
      <alignment/>
      <protection/>
    </xf>
    <xf numFmtId="2" fontId="1" fillId="0" borderId="25" xfId="0" applyNumberFormat="1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2" fontId="1" fillId="8" borderId="10" xfId="0" applyNumberFormat="1" applyFont="1" applyFill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/>
    </xf>
    <xf numFmtId="10" fontId="1" fillId="0" borderId="0" xfId="0" applyNumberFormat="1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10" fontId="1" fillId="0" borderId="29" xfId="0" applyNumberFormat="1" applyFont="1" applyBorder="1" applyAlignment="1" applyProtection="1">
      <alignment horizontal="left"/>
      <protection/>
    </xf>
    <xf numFmtId="10" fontId="1" fillId="0" borderId="27" xfId="0" applyNumberFormat="1" applyFont="1" applyBorder="1" applyAlignment="1" applyProtection="1">
      <alignment horizontal="left"/>
      <protection/>
    </xf>
    <xf numFmtId="172" fontId="1" fillId="0" borderId="27" xfId="0" applyNumberFormat="1" applyFont="1" applyBorder="1" applyAlignment="1" applyProtection="1">
      <alignment horizontal="left"/>
      <protection/>
    </xf>
    <xf numFmtId="177" fontId="1" fillId="8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 vertical="center" textRotation="90"/>
      <protection/>
    </xf>
    <xf numFmtId="10" fontId="4" fillId="0" borderId="10" xfId="0" applyNumberFormat="1" applyFont="1" applyBorder="1" applyAlignment="1" applyProtection="1">
      <alignment horizontal="left"/>
      <protection/>
    </xf>
    <xf numFmtId="172" fontId="1" fillId="0" borderId="27" xfId="0" applyNumberFormat="1" applyFont="1" applyBorder="1" applyAlignment="1" applyProtection="1">
      <alignment/>
      <protection/>
    </xf>
    <xf numFmtId="10" fontId="1" fillId="17" borderId="27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Alignment="1" applyProtection="1">
      <alignment/>
      <protection/>
    </xf>
    <xf numFmtId="183" fontId="1" fillId="0" borderId="10" xfId="0" applyNumberFormat="1" applyFont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horizontal="right"/>
      <protection/>
    </xf>
    <xf numFmtId="183" fontId="1" fillId="0" borderId="10" xfId="0" applyNumberFormat="1" applyFont="1" applyBorder="1" applyAlignment="1" applyProtection="1">
      <alignment horizontal="right"/>
      <protection/>
    </xf>
    <xf numFmtId="179" fontId="1" fillId="0" borderId="18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183" fontId="1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177" fontId="1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/>
      <protection/>
    </xf>
    <xf numFmtId="14" fontId="1" fillId="16" borderId="10" xfId="0" applyNumberFormat="1" applyFont="1" applyFill="1" applyBorder="1" applyAlignment="1" applyProtection="1">
      <alignment horizontal="center" wrapText="1"/>
      <protection/>
    </xf>
    <xf numFmtId="183" fontId="1" fillId="0" borderId="10" xfId="0" applyNumberFormat="1" applyFont="1" applyFill="1" applyBorder="1" applyAlignment="1" applyProtection="1">
      <alignment horizontal="right"/>
      <protection/>
    </xf>
    <xf numFmtId="186" fontId="1" fillId="0" borderId="10" xfId="0" applyNumberFormat="1" applyFont="1" applyFill="1" applyBorder="1" applyAlignment="1" applyProtection="1">
      <alignment/>
      <protection/>
    </xf>
    <xf numFmtId="14" fontId="1" fillId="8" borderId="17" xfId="0" applyNumberFormat="1" applyFont="1" applyFill="1" applyBorder="1" applyAlignment="1" applyProtection="1">
      <alignment horizontal="right"/>
      <protection locked="0"/>
    </xf>
    <xf numFmtId="185" fontId="1" fillId="0" borderId="0" xfId="0" applyNumberFormat="1" applyFont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7" fontId="1" fillId="16" borderId="10" xfId="0" applyNumberFormat="1" applyFont="1" applyFill="1" applyBorder="1" applyAlignment="1" applyProtection="1">
      <alignment/>
      <protection/>
    </xf>
    <xf numFmtId="2" fontId="1" fillId="16" borderId="10" xfId="0" applyNumberFormat="1" applyFont="1" applyFill="1" applyBorder="1" applyAlignment="1" applyProtection="1">
      <alignment wrapText="1"/>
      <protection/>
    </xf>
    <xf numFmtId="2" fontId="1" fillId="16" borderId="10" xfId="0" applyNumberFormat="1" applyFont="1" applyFill="1" applyBorder="1" applyAlignment="1" applyProtection="1">
      <alignment/>
      <protection/>
    </xf>
    <xf numFmtId="4" fontId="1" fillId="17" borderId="10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10" fontId="1" fillId="0" borderId="28" xfId="0" applyNumberFormat="1" applyFont="1" applyBorder="1" applyAlignment="1" applyProtection="1">
      <alignment horizontal="center"/>
      <protection/>
    </xf>
    <xf numFmtId="10" fontId="1" fillId="0" borderId="30" xfId="0" applyNumberFormat="1" applyFont="1" applyBorder="1" applyAlignment="1" applyProtection="1">
      <alignment horizontal="center"/>
      <protection/>
    </xf>
    <xf numFmtId="10" fontId="1" fillId="0" borderId="31" xfId="0" applyNumberFormat="1" applyFont="1" applyBorder="1" applyAlignment="1" applyProtection="1">
      <alignment horizontal="center"/>
      <protection/>
    </xf>
    <xf numFmtId="10" fontId="1" fillId="0" borderId="32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 textRotation="90"/>
      <protection/>
    </xf>
    <xf numFmtId="177" fontId="1" fillId="0" borderId="0" xfId="0" applyNumberFormat="1" applyFont="1" applyAlignment="1" applyProtection="1">
      <alignment/>
      <protection/>
    </xf>
    <xf numFmtId="184" fontId="1" fillId="0" borderId="10" xfId="0" applyNumberFormat="1" applyFont="1" applyFill="1" applyBorder="1" applyAlignment="1" applyProtection="1">
      <alignment/>
      <protection/>
    </xf>
    <xf numFmtId="188" fontId="1" fillId="0" borderId="0" xfId="0" applyNumberFormat="1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183" fontId="1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 horizontal="right"/>
      <protection/>
    </xf>
    <xf numFmtId="183" fontId="1" fillId="3" borderId="10" xfId="0" applyNumberFormat="1" applyFont="1" applyFill="1" applyBorder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90" fontId="1" fillId="0" borderId="0" xfId="0" applyNumberFormat="1" applyFont="1" applyAlignment="1" applyProtection="1">
      <alignment/>
      <protection/>
    </xf>
    <xf numFmtId="188" fontId="1" fillId="0" borderId="10" xfId="0" applyNumberFormat="1" applyFont="1" applyBorder="1" applyAlignment="1" applyProtection="1">
      <alignment/>
      <protection/>
    </xf>
    <xf numFmtId="189" fontId="1" fillId="0" borderId="0" xfId="0" applyNumberFormat="1" applyFont="1" applyAlignment="1" applyProtection="1">
      <alignment/>
      <protection/>
    </xf>
    <xf numFmtId="10" fontId="4" fillId="0" borderId="27" xfId="0" applyNumberFormat="1" applyFont="1" applyBorder="1" applyAlignment="1" applyProtection="1">
      <alignment horizontal="left"/>
      <protection/>
    </xf>
    <xf numFmtId="10" fontId="1" fillId="0" borderId="26" xfId="0" applyNumberFormat="1" applyFont="1" applyBorder="1" applyAlignment="1" applyProtection="1">
      <alignment horizontal="left"/>
      <protection/>
    </xf>
    <xf numFmtId="10" fontId="4" fillId="0" borderId="26" xfId="0" applyNumberFormat="1" applyFont="1" applyBorder="1" applyAlignment="1" applyProtection="1">
      <alignment horizontal="left"/>
      <protection/>
    </xf>
    <xf numFmtId="172" fontId="1" fillId="0" borderId="26" xfId="0" applyNumberFormat="1" applyFont="1" applyBorder="1" applyAlignment="1" applyProtection="1">
      <alignment horizontal="left"/>
      <protection/>
    </xf>
    <xf numFmtId="179" fontId="1" fillId="0" borderId="10" xfId="0" applyNumberFormat="1" applyFont="1" applyBorder="1" applyAlignment="1" applyProtection="1">
      <alignment horizontal="right"/>
      <protection/>
    </xf>
    <xf numFmtId="186" fontId="1" fillId="3" borderId="10" xfId="0" applyNumberFormat="1" applyFont="1" applyFill="1" applyBorder="1" applyAlignment="1" applyProtection="1">
      <alignment/>
      <protection/>
    </xf>
    <xf numFmtId="0" fontId="1" fillId="6" borderId="29" xfId="0" applyFont="1" applyFill="1" applyBorder="1" applyAlignment="1" applyProtection="1">
      <alignment/>
      <protection/>
    </xf>
    <xf numFmtId="0" fontId="1" fillId="6" borderId="27" xfId="0" applyFont="1" applyFill="1" applyBorder="1" applyAlignment="1" applyProtection="1">
      <alignment/>
      <protection/>
    </xf>
    <xf numFmtId="10" fontId="1" fillId="17" borderId="26" xfId="0" applyNumberFormat="1" applyFont="1" applyFill="1" applyBorder="1" applyAlignment="1" applyProtection="1">
      <alignment horizontal="left"/>
      <protection/>
    </xf>
    <xf numFmtId="172" fontId="1" fillId="0" borderId="26" xfId="0" applyNumberFormat="1" applyFont="1" applyBorder="1" applyAlignment="1" applyProtection="1">
      <alignment/>
      <protection/>
    </xf>
    <xf numFmtId="10" fontId="1" fillId="0" borderId="28" xfId="0" applyNumberFormat="1" applyFont="1" applyBorder="1" applyAlignment="1" applyProtection="1">
      <alignment horizontal="left"/>
      <protection/>
    </xf>
    <xf numFmtId="10" fontId="1" fillId="0" borderId="26" xfId="0" applyNumberFormat="1" applyFont="1" applyFill="1" applyBorder="1" applyAlignment="1" applyProtection="1">
      <alignment horizontal="left"/>
      <protection/>
    </xf>
    <xf numFmtId="1" fontId="1" fillId="8" borderId="10" xfId="0" applyNumberFormat="1" applyFon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/>
      <protection/>
    </xf>
    <xf numFmtId="179" fontId="1" fillId="16" borderId="10" xfId="0" applyNumberFormat="1" applyFont="1" applyFill="1" applyBorder="1" applyAlignment="1" applyProtection="1">
      <alignment horizontal="right"/>
      <protection/>
    </xf>
    <xf numFmtId="4" fontId="4" fillId="16" borderId="16" xfId="0" applyNumberFormat="1" applyFont="1" applyFill="1" applyBorder="1" applyAlignment="1" applyProtection="1">
      <alignment horizontal="center" vertical="center"/>
      <protection/>
    </xf>
    <xf numFmtId="2" fontId="1" fillId="0" borderId="27" xfId="0" applyNumberFormat="1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10" fontId="1" fillId="0" borderId="16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 wrapText="1"/>
      <protection/>
    </xf>
    <xf numFmtId="10" fontId="1" fillId="0" borderId="10" xfId="0" applyNumberFormat="1" applyFont="1" applyBorder="1" applyAlignment="1" applyProtection="1">
      <alignment horizontal="center"/>
      <protection locked="0"/>
    </xf>
    <xf numFmtId="9" fontId="1" fillId="0" borderId="10" xfId="0" applyNumberFormat="1" applyFont="1" applyBorder="1" applyAlignment="1" applyProtection="1">
      <alignment horizontal="center"/>
      <protection locked="0"/>
    </xf>
    <xf numFmtId="10" fontId="4" fillId="0" borderId="29" xfId="0" applyNumberFormat="1" applyFont="1" applyBorder="1" applyAlignment="1" applyProtection="1">
      <alignment horizontal="left"/>
      <protection/>
    </xf>
    <xf numFmtId="10" fontId="1" fillId="0" borderId="0" xfId="0" applyNumberFormat="1" applyFont="1" applyAlignment="1" applyProtection="1">
      <alignment/>
      <protection/>
    </xf>
    <xf numFmtId="14" fontId="1" fillId="0" borderId="10" xfId="0" applyNumberFormat="1" applyFont="1" applyFill="1" applyBorder="1" applyAlignment="1" applyProtection="1">
      <alignment horizontal="center"/>
      <protection/>
    </xf>
    <xf numFmtId="178" fontId="1" fillId="0" borderId="0" xfId="0" applyNumberFormat="1" applyFont="1" applyAlignment="1" applyProtection="1">
      <alignment/>
      <protection/>
    </xf>
    <xf numFmtId="178" fontId="1" fillId="0" borderId="10" xfId="0" applyNumberFormat="1" applyFont="1" applyBorder="1" applyAlignment="1" applyProtection="1">
      <alignment/>
      <protection/>
    </xf>
    <xf numFmtId="14" fontId="1" fillId="0" borderId="16" xfId="0" applyNumberFormat="1" applyFont="1" applyBorder="1" applyAlignment="1" applyProtection="1">
      <alignment horizontal="right"/>
      <protection/>
    </xf>
    <xf numFmtId="9" fontId="1" fillId="0" borderId="1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textRotation="90" wrapText="1"/>
      <protection/>
    </xf>
    <xf numFmtId="4" fontId="1" fillId="0" borderId="28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 textRotation="90"/>
      <protection/>
    </xf>
    <xf numFmtId="0" fontId="0" fillId="0" borderId="24" xfId="0" applyFont="1" applyBorder="1" applyAlignment="1" applyProtection="1">
      <alignment horizontal="center" vertical="center" textRotation="90"/>
      <protection/>
    </xf>
    <xf numFmtId="0" fontId="0" fillId="0" borderId="17" xfId="0" applyFont="1" applyBorder="1" applyAlignment="1" applyProtection="1">
      <alignment horizontal="center" vertical="center" textRotation="90"/>
      <protection/>
    </xf>
    <xf numFmtId="10" fontId="1" fillId="8" borderId="10" xfId="0" applyNumberFormat="1" applyFont="1" applyFill="1" applyBorder="1" applyAlignment="1" applyProtection="1">
      <alignment horizontal="right"/>
      <protection locked="0"/>
    </xf>
    <xf numFmtId="183" fontId="1" fillId="0" borderId="18" xfId="0" applyNumberFormat="1" applyFont="1" applyFill="1" applyBorder="1" applyAlignment="1" applyProtection="1">
      <alignment/>
      <protection/>
    </xf>
    <xf numFmtId="178" fontId="1" fillId="0" borderId="10" xfId="0" applyNumberFormat="1" applyFont="1" applyBorder="1" applyAlignment="1" applyProtection="1">
      <alignment horizontal="center"/>
      <protection/>
    </xf>
    <xf numFmtId="14" fontId="1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9" fontId="1" fillId="0" borderId="10" xfId="0" applyNumberFormat="1" applyFont="1" applyBorder="1" applyAlignment="1" applyProtection="1">
      <alignment horizontal="center"/>
      <protection/>
    </xf>
    <xf numFmtId="10" fontId="1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wrapText="1"/>
      <protection/>
    </xf>
    <xf numFmtId="0" fontId="2" fillId="6" borderId="33" xfId="42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2" fontId="1" fillId="0" borderId="35" xfId="0" applyNumberFormat="1" applyFont="1" applyBorder="1" applyAlignment="1" applyProtection="1">
      <alignment horizontal="left"/>
      <protection/>
    </xf>
    <xf numFmtId="2" fontId="1" fillId="0" borderId="36" xfId="0" applyNumberFormat="1" applyFont="1" applyBorder="1" applyAlignment="1" applyProtection="1">
      <alignment horizontal="left"/>
      <protection/>
    </xf>
    <xf numFmtId="0" fontId="2" fillId="6" borderId="37" xfId="42" applyFill="1" applyBorder="1" applyAlignment="1" applyProtection="1">
      <alignment vertical="center"/>
      <protection/>
    </xf>
    <xf numFmtId="0" fontId="2" fillId="6" borderId="19" xfId="42" applyFill="1" applyBorder="1" applyAlignment="1" applyProtection="1">
      <alignment vertical="center"/>
      <protection/>
    </xf>
    <xf numFmtId="0" fontId="2" fillId="6" borderId="20" xfId="42" applyFill="1" applyBorder="1" applyAlignment="1" applyProtection="1">
      <alignment horizontal="center" vertical="center"/>
      <protection/>
    </xf>
    <xf numFmtId="0" fontId="1" fillId="6" borderId="14" xfId="0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/>
      <protection/>
    </xf>
    <xf numFmtId="0" fontId="1" fillId="6" borderId="15" xfId="0" applyFont="1" applyFill="1" applyBorder="1" applyAlignment="1" applyProtection="1">
      <alignment/>
      <protection/>
    </xf>
    <xf numFmtId="0" fontId="1" fillId="6" borderId="20" xfId="0" applyFont="1" applyFill="1" applyBorder="1" applyAlignment="1" applyProtection="1">
      <alignment/>
      <protection/>
    </xf>
    <xf numFmtId="0" fontId="1" fillId="6" borderId="21" xfId="0" applyFont="1" applyFill="1" applyBorder="1" applyAlignment="1" applyProtection="1">
      <alignment/>
      <protection/>
    </xf>
    <xf numFmtId="0" fontId="1" fillId="6" borderId="33" xfId="0" applyFont="1" applyFill="1" applyBorder="1" applyAlignment="1" applyProtection="1">
      <alignment/>
      <protection/>
    </xf>
    <xf numFmtId="0" fontId="1" fillId="6" borderId="38" xfId="0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0" fontId="6" fillId="0" borderId="32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wrapText="1"/>
      <protection/>
    </xf>
    <xf numFmtId="14" fontId="1" fillId="0" borderId="32" xfId="0" applyNumberFormat="1" applyFont="1" applyFill="1" applyBorder="1" applyAlignment="1" applyProtection="1">
      <alignment/>
      <protection/>
    </xf>
    <xf numFmtId="177" fontId="1" fillId="0" borderId="32" xfId="0" applyNumberFormat="1" applyFont="1" applyFill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177" fontId="7" fillId="0" borderId="32" xfId="0" applyNumberFormat="1" applyFont="1" applyFill="1" applyBorder="1" applyAlignment="1" applyProtection="1">
      <alignment horizontal="center" vertical="center"/>
      <protection/>
    </xf>
    <xf numFmtId="177" fontId="1" fillId="0" borderId="32" xfId="0" applyNumberFormat="1" applyFont="1" applyFill="1" applyBorder="1" applyAlignment="1" applyProtection="1">
      <alignment horizontal="right"/>
      <protection/>
    </xf>
    <xf numFmtId="172" fontId="1" fillId="0" borderId="32" xfId="0" applyNumberFormat="1" applyFont="1" applyBorder="1" applyAlignment="1" applyProtection="1">
      <alignment/>
      <protection/>
    </xf>
    <xf numFmtId="10" fontId="1" fillId="0" borderId="32" xfId="0" applyNumberFormat="1" applyFont="1" applyFill="1" applyBorder="1" applyAlignment="1" applyProtection="1">
      <alignment horizontal="center"/>
      <protection/>
    </xf>
    <xf numFmtId="172" fontId="1" fillId="0" borderId="32" xfId="0" applyNumberFormat="1" applyFont="1" applyFill="1" applyBorder="1" applyAlignment="1" applyProtection="1">
      <alignment/>
      <protection/>
    </xf>
    <xf numFmtId="177" fontId="1" fillId="0" borderId="32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0" fontId="4" fillId="0" borderId="20" xfId="0" applyNumberFormat="1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right"/>
      <protection/>
    </xf>
    <xf numFmtId="10" fontId="1" fillId="0" borderId="10" xfId="0" applyNumberFormat="1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/>
      <protection/>
    </xf>
    <xf numFmtId="10" fontId="1" fillId="0" borderId="10" xfId="0" applyNumberFormat="1" applyFont="1" applyFill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 horizontal="center"/>
      <protection/>
    </xf>
    <xf numFmtId="177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178" fontId="1" fillId="0" borderId="10" xfId="0" applyNumberFormat="1" applyFont="1" applyBorder="1" applyAlignment="1" applyProtection="1">
      <alignment/>
      <protection locked="0"/>
    </xf>
    <xf numFmtId="178" fontId="1" fillId="0" borderId="10" xfId="0" applyNumberFormat="1" applyFont="1" applyFill="1" applyBorder="1" applyAlignment="1" applyProtection="1">
      <alignment/>
      <protection locked="0"/>
    </xf>
    <xf numFmtId="183" fontId="1" fillId="0" borderId="0" xfId="0" applyNumberFormat="1" applyFont="1" applyBorder="1" applyAlignment="1" applyProtection="1">
      <alignment/>
      <protection/>
    </xf>
    <xf numFmtId="9" fontId="7" fillId="0" borderId="10" xfId="0" applyNumberFormat="1" applyFont="1" applyFill="1" applyBorder="1" applyAlignment="1" applyProtection="1">
      <alignment/>
      <protection/>
    </xf>
    <xf numFmtId="9" fontId="7" fillId="0" borderId="0" xfId="0" applyNumberFormat="1" applyFont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textRotation="90"/>
      <protection/>
    </xf>
    <xf numFmtId="0" fontId="0" fillId="0" borderId="16" xfId="0" applyFont="1" applyBorder="1" applyAlignment="1" applyProtection="1">
      <alignment textRotation="90"/>
      <protection/>
    </xf>
    <xf numFmtId="0" fontId="0" fillId="0" borderId="24" xfId="0" applyFont="1" applyBorder="1" applyAlignment="1" applyProtection="1">
      <alignment textRotation="90"/>
      <protection/>
    </xf>
    <xf numFmtId="183" fontId="12" fillId="3" borderId="10" xfId="0" applyNumberFormat="1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" fillId="6" borderId="26" xfId="0" applyFont="1" applyFill="1" applyBorder="1" applyAlignment="1" applyProtection="1">
      <alignment/>
      <protection/>
    </xf>
    <xf numFmtId="2" fontId="1" fillId="8" borderId="17" xfId="0" applyNumberFormat="1" applyFont="1" applyFill="1" applyBorder="1" applyAlignment="1" applyProtection="1">
      <alignment/>
      <protection locked="0"/>
    </xf>
    <xf numFmtId="177" fontId="1" fillId="0" borderId="18" xfId="0" applyNumberFormat="1" applyFont="1" applyFill="1" applyBorder="1" applyAlignment="1" applyProtection="1">
      <alignment/>
      <protection/>
    </xf>
    <xf numFmtId="14" fontId="1" fillId="0" borderId="18" xfId="0" applyNumberFormat="1" applyFont="1" applyFill="1" applyBorder="1" applyAlignment="1" applyProtection="1">
      <alignment horizontal="center" wrapText="1"/>
      <protection/>
    </xf>
    <xf numFmtId="2" fontId="1" fillId="0" borderId="18" xfId="0" applyNumberFormat="1" applyFont="1" applyFill="1" applyBorder="1" applyAlignment="1" applyProtection="1">
      <alignment/>
      <protection/>
    </xf>
    <xf numFmtId="10" fontId="4" fillId="0" borderId="18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right"/>
      <protection/>
    </xf>
    <xf numFmtId="4" fontId="1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2" fontId="1" fillId="0" borderId="18" xfId="0" applyNumberFormat="1" applyFont="1" applyFill="1" applyBorder="1" applyAlignment="1" applyProtection="1">
      <alignment wrapText="1"/>
      <protection/>
    </xf>
    <xf numFmtId="0" fontId="1" fillId="6" borderId="30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 horizontal="right"/>
      <protection/>
    </xf>
    <xf numFmtId="0" fontId="1" fillId="0" borderId="35" xfId="0" applyFont="1" applyBorder="1" applyAlignment="1" applyProtection="1">
      <alignment horizontal="right"/>
      <protection/>
    </xf>
    <xf numFmtId="194" fontId="1" fillId="0" borderId="0" xfId="0" applyNumberFormat="1" applyFon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1" fontId="1" fillId="0" borderId="0" xfId="0" applyNumberFormat="1" applyFont="1" applyBorder="1" applyAlignment="1" applyProtection="1">
      <alignment/>
      <protection/>
    </xf>
    <xf numFmtId="177" fontId="1" fillId="0" borderId="18" xfId="0" applyNumberFormat="1" applyFont="1" applyFill="1" applyBorder="1" applyAlignment="1" applyProtection="1">
      <alignment horizontal="left"/>
      <protection/>
    </xf>
    <xf numFmtId="188" fontId="1" fillId="0" borderId="18" xfId="0" applyNumberFormat="1" applyFont="1" applyBorder="1" applyAlignment="1" applyProtection="1">
      <alignment/>
      <protection/>
    </xf>
    <xf numFmtId="185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95" fontId="1" fillId="0" borderId="0" xfId="0" applyNumberFormat="1" applyFont="1" applyBorder="1" applyAlignment="1" applyProtection="1">
      <alignment/>
      <protection/>
    </xf>
    <xf numFmtId="183" fontId="1" fillId="0" borderId="0" xfId="0" applyNumberFormat="1" applyFont="1" applyAlignment="1" applyProtection="1">
      <alignment/>
      <protection/>
    </xf>
    <xf numFmtId="196" fontId="1" fillId="0" borderId="0" xfId="0" applyNumberFormat="1" applyFont="1" applyBorder="1" applyAlignment="1" applyProtection="1">
      <alignment/>
      <protection/>
    </xf>
    <xf numFmtId="185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10" fontId="13" fillId="0" borderId="10" xfId="0" applyNumberFormat="1" applyFont="1" applyFill="1" applyBorder="1" applyAlignment="1" applyProtection="1">
      <alignment horizontal="center"/>
      <protection locked="0"/>
    </xf>
    <xf numFmtId="10" fontId="13" fillId="0" borderId="10" xfId="0" applyNumberFormat="1" applyFont="1" applyBorder="1" applyAlignment="1" applyProtection="1">
      <alignment horizontal="center"/>
      <protection locked="0"/>
    </xf>
    <xf numFmtId="10" fontId="14" fillId="0" borderId="0" xfId="0" applyNumberFormat="1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10" fontId="1" fillId="0" borderId="27" xfId="0" applyNumberFormat="1" applyFont="1" applyFill="1" applyBorder="1" applyAlignment="1" applyProtection="1">
      <alignment horizontal="right"/>
      <protection/>
    </xf>
    <xf numFmtId="179" fontId="1" fillId="0" borderId="29" xfId="0" applyNumberFormat="1" applyFont="1" applyFill="1" applyBorder="1" applyAlignment="1" applyProtection="1">
      <alignment/>
      <protection locked="0"/>
    </xf>
    <xf numFmtId="179" fontId="1" fillId="0" borderId="10" xfId="0" applyNumberFormat="1" applyFont="1" applyFill="1" applyBorder="1" applyAlignment="1" applyProtection="1">
      <alignment horizontal="right"/>
      <protection/>
    </xf>
    <xf numFmtId="0" fontId="0" fillId="0" borderId="3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2" fontId="1" fillId="0" borderId="27" xfId="0" applyNumberFormat="1" applyFont="1" applyBorder="1" applyAlignment="1" applyProtection="1">
      <alignment horizontal="left"/>
      <protection locked="0"/>
    </xf>
    <xf numFmtId="1" fontId="1" fillId="0" borderId="27" xfId="0" applyNumberFormat="1" applyFont="1" applyBorder="1" applyAlignment="1" applyProtection="1">
      <alignment horizontal="left"/>
      <protection locked="0"/>
    </xf>
    <xf numFmtId="10" fontId="1" fillId="0" borderId="27" xfId="0" applyNumberFormat="1" applyFont="1" applyBorder="1" applyAlignment="1" applyProtection="1">
      <alignment horizontal="left"/>
      <protection locked="0"/>
    </xf>
    <xf numFmtId="1" fontId="1" fillId="0" borderId="27" xfId="0" applyNumberFormat="1" applyFont="1" applyBorder="1" applyAlignment="1" applyProtection="1">
      <alignment horizontal="right"/>
      <protection locked="0"/>
    </xf>
    <xf numFmtId="181" fontId="1" fillId="0" borderId="10" xfId="0" applyNumberFormat="1" applyFont="1" applyBorder="1" applyAlignment="1" applyProtection="1">
      <alignment/>
      <protection/>
    </xf>
    <xf numFmtId="14" fontId="1" fillId="8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0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2" fontId="1" fillId="17" borderId="10" xfId="0" applyNumberFormat="1" applyFont="1" applyFill="1" applyBorder="1" applyAlignment="1" applyProtection="1">
      <alignment/>
      <protection locked="0"/>
    </xf>
    <xf numFmtId="177" fontId="1" fillId="8" borderId="10" xfId="0" applyNumberFormat="1" applyFont="1" applyFill="1" applyBorder="1" applyAlignment="1" applyProtection="1">
      <alignment horizontal="right"/>
      <protection locked="0"/>
    </xf>
    <xf numFmtId="4" fontId="1" fillId="16" borderId="1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/>
      <protection/>
    </xf>
    <xf numFmtId="186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97" fontId="1" fillId="0" borderId="0" xfId="0" applyNumberFormat="1" applyFont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 horizontal="center" vertical="center"/>
      <protection/>
    </xf>
    <xf numFmtId="183" fontId="1" fillId="16" borderId="10" xfId="0" applyNumberFormat="1" applyFont="1" applyFill="1" applyBorder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 horizontal="left"/>
      <protection/>
    </xf>
    <xf numFmtId="183" fontId="1" fillId="0" borderId="0" xfId="0" applyNumberFormat="1" applyFont="1" applyAlignment="1" applyProtection="1">
      <alignment horizontal="left"/>
      <protection/>
    </xf>
    <xf numFmtId="0" fontId="1" fillId="16" borderId="10" xfId="0" applyFont="1" applyFill="1" applyBorder="1" applyAlignment="1" applyProtection="1">
      <alignment/>
      <protection/>
    </xf>
    <xf numFmtId="4" fontId="4" fillId="16" borderId="17" xfId="0" applyNumberFormat="1" applyFont="1" applyFill="1" applyBorder="1" applyAlignment="1" applyProtection="1">
      <alignment horizontal="center" vertical="center"/>
      <protection/>
    </xf>
    <xf numFmtId="4" fontId="1" fillId="6" borderId="27" xfId="0" applyNumberFormat="1" applyFont="1" applyFill="1" applyBorder="1" applyAlignment="1" applyProtection="1">
      <alignment/>
      <protection/>
    </xf>
    <xf numFmtId="179" fontId="1" fillId="16" borderId="27" xfId="0" applyNumberFormat="1" applyFont="1" applyFill="1" applyBorder="1" applyAlignment="1" applyProtection="1">
      <alignment/>
      <protection/>
    </xf>
    <xf numFmtId="179" fontId="1" fillId="3" borderId="10" xfId="0" applyNumberFormat="1" applyFont="1" applyFill="1" applyBorder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172" fontId="1" fillId="0" borderId="10" xfId="0" applyNumberFormat="1" applyFont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/>
      <protection/>
    </xf>
    <xf numFmtId="14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10" fontId="1" fillId="0" borderId="0" xfId="0" applyNumberFormat="1" applyFont="1" applyBorder="1" applyAlignment="1" applyProtection="1">
      <alignment horizontal="left"/>
      <protection/>
    </xf>
    <xf numFmtId="10" fontId="1" fillId="0" borderId="0" xfId="0" applyNumberFormat="1" applyFont="1" applyFill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40" xfId="0" applyFont="1" applyBorder="1" applyAlignment="1" applyProtection="1">
      <alignment horizontal="center" vertical="center"/>
      <protection/>
    </xf>
    <xf numFmtId="10" fontId="4" fillId="0" borderId="41" xfId="0" applyNumberFormat="1" applyFont="1" applyBorder="1" applyAlignment="1" applyProtection="1">
      <alignment/>
      <protection/>
    </xf>
    <xf numFmtId="10" fontId="4" fillId="0" borderId="42" xfId="0" applyNumberFormat="1" applyFont="1" applyBorder="1" applyAlignment="1" applyProtection="1">
      <alignment/>
      <protection/>
    </xf>
    <xf numFmtId="10" fontId="1" fillId="0" borderId="40" xfId="0" applyNumberFormat="1" applyFont="1" applyBorder="1" applyAlignment="1" applyProtection="1">
      <alignment horizontal="center" vertical="center"/>
      <protection locked="0"/>
    </xf>
    <xf numFmtId="10" fontId="1" fillId="0" borderId="43" xfId="0" applyNumberFormat="1" applyFont="1" applyBorder="1" applyAlignment="1" applyProtection="1">
      <alignment horizontal="center" vertical="center"/>
      <protection/>
    </xf>
    <xf numFmtId="178" fontId="1" fillId="0" borderId="0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18" borderId="44" xfId="0" applyFont="1" applyFill="1" applyBorder="1" applyAlignment="1">
      <alignment/>
    </xf>
    <xf numFmtId="2" fontId="1" fillId="19" borderId="45" xfId="0" applyNumberFormat="1" applyFont="1" applyFill="1" applyBorder="1" applyAlignment="1" applyProtection="1">
      <alignment/>
      <protection locked="0"/>
    </xf>
    <xf numFmtId="0" fontId="0" fillId="18" borderId="46" xfId="0" applyFont="1" applyFill="1" applyBorder="1" applyAlignment="1">
      <alignment/>
    </xf>
    <xf numFmtId="2" fontId="0" fillId="0" borderId="27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2" fontId="0" fillId="0" borderId="10" xfId="0" applyNumberFormat="1" applyFont="1" applyBorder="1" applyAlignment="1" applyProtection="1">
      <alignment/>
      <protection/>
    </xf>
    <xf numFmtId="10" fontId="0" fillId="0" borderId="27" xfId="0" applyNumberFormat="1" applyFont="1" applyBorder="1" applyAlignment="1" applyProtection="1">
      <alignment horizontal="left"/>
      <protection/>
    </xf>
    <xf numFmtId="10" fontId="0" fillId="0" borderId="26" xfId="0" applyNumberFormat="1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/>
      <protection/>
    </xf>
    <xf numFmtId="172" fontId="0" fillId="0" borderId="26" xfId="0" applyNumberFormat="1" applyFont="1" applyBorder="1" applyAlignment="1" applyProtection="1">
      <alignment/>
      <protection/>
    </xf>
    <xf numFmtId="172" fontId="0" fillId="0" borderId="26" xfId="0" applyNumberFormat="1" applyFont="1" applyBorder="1" applyAlignment="1" applyProtection="1">
      <alignment horizontal="left"/>
      <protection/>
    </xf>
    <xf numFmtId="10" fontId="10" fillId="0" borderId="27" xfId="0" applyNumberFormat="1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10" fontId="0" fillId="0" borderId="28" xfId="0" applyNumberFormat="1" applyFont="1" applyBorder="1" applyAlignment="1" applyProtection="1">
      <alignment horizontal="left"/>
      <protection/>
    </xf>
    <xf numFmtId="10" fontId="17" fillId="0" borderId="31" xfId="0" applyNumberFormat="1" applyFont="1" applyBorder="1" applyAlignment="1" applyProtection="1">
      <alignment horizontal="left"/>
      <protection/>
    </xf>
    <xf numFmtId="10" fontId="0" fillId="17" borderId="26" xfId="0" applyNumberFormat="1" applyFont="1" applyFill="1" applyBorder="1" applyAlignment="1" applyProtection="1">
      <alignment horizontal="left"/>
      <protection/>
    </xf>
    <xf numFmtId="10" fontId="0" fillId="0" borderId="26" xfId="0" applyNumberFormat="1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/>
      <protection/>
    </xf>
    <xf numFmtId="10" fontId="0" fillId="0" borderId="26" xfId="0" applyNumberFormat="1" applyFont="1" applyFill="1" applyBorder="1" applyAlignment="1" applyProtection="1">
      <alignment horizontal="left"/>
      <protection/>
    </xf>
    <xf numFmtId="172" fontId="0" fillId="0" borderId="26" xfId="0" applyNumberFormat="1" applyFont="1" applyBorder="1" applyAlignment="1" applyProtection="1">
      <alignment/>
      <protection/>
    </xf>
    <xf numFmtId="172" fontId="0" fillId="0" borderId="26" xfId="0" applyNumberFormat="1" applyFont="1" applyBorder="1" applyAlignment="1" applyProtection="1">
      <alignment horizontal="left"/>
      <protection/>
    </xf>
    <xf numFmtId="10" fontId="10" fillId="0" borderId="29" xfId="0" applyNumberFormat="1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0" fillId="0" borderId="29" xfId="0" applyNumberFormat="1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10" fontId="10" fillId="0" borderId="29" xfId="0" applyNumberFormat="1" applyFont="1" applyBorder="1" applyAlignment="1" applyProtection="1">
      <alignment/>
      <protection/>
    </xf>
    <xf numFmtId="2" fontId="0" fillId="0" borderId="27" xfId="0" applyNumberFormat="1" applyFont="1" applyBorder="1" applyAlignment="1" applyProtection="1">
      <alignment/>
      <protection/>
    </xf>
    <xf numFmtId="2" fontId="10" fillId="0" borderId="27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2" fontId="0" fillId="0" borderId="10" xfId="0" applyNumberFormat="1" applyFont="1" applyBorder="1" applyAlignment="1" applyProtection="1">
      <alignment/>
      <protection/>
    </xf>
    <xf numFmtId="10" fontId="0" fillId="0" borderId="28" xfId="0" applyNumberFormat="1" applyFont="1" applyBorder="1" applyAlignment="1" applyProtection="1">
      <alignment horizontal="center"/>
      <protection/>
    </xf>
    <xf numFmtId="10" fontId="0" fillId="0" borderId="31" xfId="0" applyNumberFormat="1" applyFont="1" applyBorder="1" applyAlignment="1" applyProtection="1">
      <alignment horizontal="center"/>
      <protection/>
    </xf>
    <xf numFmtId="10" fontId="0" fillId="17" borderId="27" xfId="0" applyNumberFormat="1" applyFont="1" applyFill="1" applyBorder="1" applyAlignment="1" applyProtection="1">
      <alignment horizontal="right"/>
      <protection/>
    </xf>
    <xf numFmtId="10" fontId="0" fillId="0" borderId="27" xfId="0" applyNumberFormat="1" applyFont="1" applyBorder="1" applyAlignment="1" applyProtection="1">
      <alignment horizontal="left"/>
      <protection/>
    </xf>
    <xf numFmtId="1" fontId="0" fillId="0" borderId="27" xfId="0" applyNumberFormat="1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/>
      <protection/>
    </xf>
    <xf numFmtId="172" fontId="0" fillId="0" borderId="27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0" fontId="0" fillId="0" borderId="27" xfId="0" applyNumberFormat="1" applyFont="1" applyBorder="1" applyAlignment="1" applyProtection="1">
      <alignment horizontal="left"/>
      <protection/>
    </xf>
    <xf numFmtId="0" fontId="0" fillId="6" borderId="29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0" fillId="0" borderId="29" xfId="0" applyNumberFormat="1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horizontal="left" wrapText="1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center" vertical="center" textRotation="90" wrapText="1"/>
      <protection/>
    </xf>
    <xf numFmtId="0" fontId="0" fillId="0" borderId="17" xfId="0" applyFont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 applyProtection="1">
      <alignment horizontal="center" vertical="center" textRotation="90" wrapTex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47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0" fontId="2" fillId="6" borderId="50" xfId="42" applyFill="1" applyBorder="1" applyAlignment="1" applyProtection="1">
      <alignment horizontal="center" vertical="center"/>
      <protection/>
    </xf>
    <xf numFmtId="0" fontId="2" fillId="6" borderId="28" xfId="42" applyFill="1" applyBorder="1" applyAlignment="1" applyProtection="1">
      <alignment horizontal="center" vertical="center"/>
      <protection/>
    </xf>
    <xf numFmtId="0" fontId="2" fillId="6" borderId="51" xfId="42" applyFill="1" applyBorder="1" applyAlignment="1" applyProtection="1">
      <alignment horizontal="center" vertical="center"/>
      <protection/>
    </xf>
    <xf numFmtId="0" fontId="2" fillId="6" borderId="37" xfId="42" applyFill="1" applyBorder="1" applyAlignment="1" applyProtection="1">
      <alignment horizontal="center" vertical="center"/>
      <protection/>
    </xf>
    <xf numFmtId="0" fontId="2" fillId="6" borderId="33" xfId="42" applyFill="1" applyBorder="1" applyAlignment="1" applyProtection="1">
      <alignment horizontal="center" vertical="center"/>
      <protection/>
    </xf>
    <xf numFmtId="0" fontId="2" fillId="6" borderId="52" xfId="42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8" borderId="29" xfId="0" applyFont="1" applyFill="1" applyBorder="1" applyAlignment="1" applyProtection="1">
      <alignment horizontal="center"/>
      <protection locked="0"/>
    </xf>
    <xf numFmtId="0" fontId="4" fillId="8" borderId="27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 textRotation="90"/>
      <protection/>
    </xf>
    <xf numFmtId="0" fontId="0" fillId="0" borderId="24" xfId="0" applyFont="1" applyBorder="1" applyAlignment="1" applyProtection="1">
      <alignment horizontal="center" vertical="center" textRotation="90"/>
      <protection/>
    </xf>
    <xf numFmtId="0" fontId="0" fillId="0" borderId="17" xfId="0" applyFont="1" applyBorder="1" applyAlignment="1" applyProtection="1">
      <alignment horizontal="center" vertical="center" textRotation="90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  <xf numFmtId="14" fontId="1" fillId="0" borderId="53" xfId="0" applyNumberFormat="1" applyFont="1" applyBorder="1" applyAlignment="1" applyProtection="1">
      <alignment horizontal="center" vertical="center" wrapText="1"/>
      <protection/>
    </xf>
    <xf numFmtId="14" fontId="1" fillId="0" borderId="54" xfId="0" applyNumberFormat="1" applyFont="1" applyBorder="1" applyAlignment="1" applyProtection="1">
      <alignment horizontal="center" vertical="center"/>
      <protection/>
    </xf>
    <xf numFmtId="14" fontId="1" fillId="0" borderId="55" xfId="0" applyNumberFormat="1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 textRotation="90" wrapText="1"/>
      <protection/>
    </xf>
    <xf numFmtId="0" fontId="0" fillId="0" borderId="24" xfId="0" applyFont="1" applyBorder="1" applyAlignment="1" applyProtection="1">
      <alignment horizontal="center" textRotation="90" wrapText="1"/>
      <protection/>
    </xf>
    <xf numFmtId="0" fontId="0" fillId="0" borderId="17" xfId="0" applyFont="1" applyBorder="1" applyAlignment="1" applyProtection="1">
      <alignment horizontal="center" textRotation="90" wrapText="1"/>
      <protection/>
    </xf>
    <xf numFmtId="0" fontId="1" fillId="0" borderId="16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17" xfId="0" applyFont="1" applyBorder="1" applyAlignment="1" applyProtection="1">
      <alignment horizontal="center" vertical="center" textRotation="90"/>
      <protection/>
    </xf>
    <xf numFmtId="0" fontId="2" fillId="6" borderId="14" xfId="42" applyFill="1" applyBorder="1" applyAlignment="1" applyProtection="1">
      <alignment horizontal="center" vertical="center"/>
      <protection/>
    </xf>
    <xf numFmtId="0" fontId="2" fillId="6" borderId="0" xfId="42" applyFill="1" applyBorder="1" applyAlignment="1" applyProtection="1">
      <alignment horizontal="center" vertical="center"/>
      <protection/>
    </xf>
    <xf numFmtId="0" fontId="2" fillId="6" borderId="15" xfId="42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 [0]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Comma" xfId="61"/>
    <cellStyle name="Warning Text" xfId="62"/>
  </cellStyles>
  <dxfs count="48">
    <dxf>
      <fill>
        <patternFill>
          <bgColor indexed="4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47"/>
      </font>
    </dxf>
    <dxf>
      <font>
        <color indexed="9"/>
      </font>
    </dxf>
    <dxf>
      <font>
        <color indexed="42"/>
      </font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47"/>
      </font>
    </dxf>
    <dxf>
      <font>
        <color indexed="9"/>
      </font>
    </dxf>
    <dxf>
      <font>
        <color indexed="9"/>
      </font>
    </dxf>
    <dxf>
      <font>
        <color indexed="42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1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47"/>
      </font>
    </dxf>
    <dxf>
      <font>
        <color indexed="9"/>
      </font>
    </dxf>
    <dxf>
      <font>
        <color indexed="42"/>
      </font>
    </dxf>
    <dxf>
      <font>
        <color indexed="9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47"/>
      </font>
    </dxf>
    <dxf>
      <font>
        <color indexed="42"/>
      </font>
    </dxf>
    <dxf>
      <font>
        <color indexed="9"/>
      </font>
    </dxf>
    <dxf>
      <fill>
        <patternFill>
          <bgColor indexed="4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color indexed="47"/>
      </font>
    </dxf>
    <dxf>
      <font>
        <color indexed="9"/>
      </font>
    </dxf>
    <dxf>
      <font>
        <color indexed="42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color indexed="47"/>
      </font>
    </dxf>
    <dxf>
      <font>
        <color indexed="9"/>
      </font>
    </dxf>
    <dxf>
      <font>
        <color indexed="42"/>
      </font>
    </dxf>
    <dxf>
      <font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T145"/>
  <sheetViews>
    <sheetView showGridLines="0" tabSelected="1" zoomScale="90" zoomScaleNormal="90" zoomScalePageLayoutView="0" workbookViewId="0" topLeftCell="A1">
      <selection activeCell="G30" sqref="G30"/>
    </sheetView>
  </sheetViews>
  <sheetFormatPr defaultColWidth="9.140625" defaultRowHeight="12.75"/>
  <cols>
    <col min="1" max="1" width="2.421875" style="15" bestFit="1" customWidth="1"/>
    <col min="2" max="2" width="2.7109375" style="15" bestFit="1" customWidth="1"/>
    <col min="3" max="3" width="12.140625" style="15" customWidth="1"/>
    <col min="4" max="4" width="11.00390625" style="15" customWidth="1"/>
    <col min="5" max="5" width="28.8515625" style="15" bestFit="1" customWidth="1"/>
    <col min="6" max="6" width="13.00390625" style="15" customWidth="1"/>
    <col min="7" max="7" width="9.7109375" style="15" customWidth="1"/>
    <col min="8" max="9" width="1.7109375" style="15" customWidth="1"/>
    <col min="10" max="10" width="30.00390625" style="15" bestFit="1" customWidth="1"/>
    <col min="11" max="11" width="12.8515625" style="15" bestFit="1" customWidth="1"/>
    <col min="12" max="12" width="11.00390625" style="15" bestFit="1" customWidth="1"/>
    <col min="13" max="14" width="1.7109375" style="15" customWidth="1"/>
    <col min="15" max="15" width="8.28125" style="15" customWidth="1"/>
    <col min="16" max="16" width="11.421875" style="15" bestFit="1" customWidth="1"/>
    <col min="17" max="17" width="10.28125" style="15" customWidth="1"/>
    <col min="18" max="16384" width="9.140625" style="15" customWidth="1"/>
  </cols>
  <sheetData>
    <row r="1" ht="12" thickBot="1">
      <c r="O1" s="147"/>
    </row>
    <row r="2" spans="2:15" ht="14.25" thickBot="1" thickTop="1">
      <c r="B2" s="450" t="s">
        <v>40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2"/>
      <c r="O2" s="147" t="s">
        <v>103</v>
      </c>
    </row>
    <row r="3" spans="2:15" ht="12" thickTop="1">
      <c r="B3" s="12"/>
      <c r="C3" s="13"/>
      <c r="D3" s="13"/>
      <c r="E3" s="13"/>
      <c r="F3" s="13"/>
      <c r="G3" s="13"/>
      <c r="H3" s="13"/>
      <c r="I3" s="75"/>
      <c r="J3" s="13"/>
      <c r="K3" s="13"/>
      <c r="L3" s="13"/>
      <c r="M3" s="14"/>
      <c r="N3" s="20"/>
      <c r="O3" s="147" t="s">
        <v>94</v>
      </c>
    </row>
    <row r="4" spans="2:15" ht="12" customHeight="1" thickBot="1">
      <c r="B4" s="16"/>
      <c r="C4" s="17"/>
      <c r="D4" s="447" t="s">
        <v>26</v>
      </c>
      <c r="E4" s="389" t="s">
        <v>139</v>
      </c>
      <c r="F4" s="465"/>
      <c r="G4" s="466"/>
      <c r="H4" s="20"/>
      <c r="I4" s="39"/>
      <c r="M4" s="21"/>
      <c r="N4" s="20"/>
      <c r="O4" s="147" t="s">
        <v>93</v>
      </c>
    </row>
    <row r="5" spans="2:16" ht="12" customHeight="1" thickTop="1">
      <c r="B5" s="16"/>
      <c r="C5" s="17"/>
      <c r="D5" s="445"/>
      <c r="E5" s="389" t="s">
        <v>36</v>
      </c>
      <c r="F5" s="5"/>
      <c r="G5" s="20"/>
      <c r="H5" s="20"/>
      <c r="I5" s="39"/>
      <c r="J5" s="459" t="s">
        <v>19</v>
      </c>
      <c r="K5" s="460"/>
      <c r="L5" s="461"/>
      <c r="M5" s="21"/>
      <c r="N5" s="20"/>
      <c r="O5" s="399" t="s">
        <v>95</v>
      </c>
      <c r="P5" s="147" t="s">
        <v>95</v>
      </c>
    </row>
    <row r="6" spans="2:16" ht="21.75" customHeight="1">
      <c r="B6" s="16"/>
      <c r="C6" s="17"/>
      <c r="D6" s="445"/>
      <c r="E6" s="388" t="s">
        <v>115</v>
      </c>
      <c r="F6" s="182">
        <v>2</v>
      </c>
      <c r="G6" s="20"/>
      <c r="H6" s="20"/>
      <c r="I6" s="39"/>
      <c r="J6" s="462" t="s">
        <v>20</v>
      </c>
      <c r="K6" s="463"/>
      <c r="L6" s="464"/>
      <c r="M6" s="21"/>
      <c r="N6" s="20"/>
      <c r="O6" s="147" t="s">
        <v>54</v>
      </c>
      <c r="P6" s="147" t="s">
        <v>42</v>
      </c>
    </row>
    <row r="7" spans="2:15" ht="12" customHeight="1">
      <c r="B7" s="16"/>
      <c r="C7" s="17"/>
      <c r="D7" s="445"/>
      <c r="E7" s="389" t="s">
        <v>67</v>
      </c>
      <c r="F7" s="4"/>
      <c r="G7" s="20"/>
      <c r="H7" s="20"/>
      <c r="I7" s="39"/>
      <c r="J7" s="453" t="str">
        <f>IF(F5="","Scrivere il codice Isin nella cella F5",HYPERLINK(O8,"Vai al Regolamento del Titolo"))</f>
        <v>Scrivere il codice Isin nella cella F5</v>
      </c>
      <c r="K7" s="454"/>
      <c r="L7" s="455"/>
      <c r="M7" s="21"/>
      <c r="N7" s="20"/>
      <c r="O7" s="147" t="s">
        <v>116</v>
      </c>
    </row>
    <row r="8" spans="2:15" ht="12" customHeight="1" thickBot="1">
      <c r="B8" s="16"/>
      <c r="C8" s="20"/>
      <c r="D8" s="445"/>
      <c r="E8" s="389" t="s">
        <v>68</v>
      </c>
      <c r="F8" s="116"/>
      <c r="G8" s="20"/>
      <c r="H8" s="20"/>
      <c r="I8" s="39"/>
      <c r="J8" s="456"/>
      <c r="K8" s="457"/>
      <c r="L8" s="458"/>
      <c r="M8" s="21"/>
      <c r="N8" s="20"/>
      <c r="O8" s="147" t="str">
        <f>CONCATENATE(O7,F5,"&amp;market=MOT&amp;lang=it")</f>
        <v>http://www.borsaitaliana.it/bitApp/caratteristiche.bit?target=Download&amp;isin=&amp;market=MOT&amp;lang=it</v>
      </c>
    </row>
    <row r="9" spans="2:15" ht="12" customHeight="1" thickTop="1">
      <c r="B9" s="16"/>
      <c r="C9" s="23"/>
      <c r="D9" s="445"/>
      <c r="E9" s="389" t="s">
        <v>46</v>
      </c>
      <c r="F9" s="4"/>
      <c r="G9" s="23"/>
      <c r="H9" s="20"/>
      <c r="I9" s="39"/>
      <c r="J9" s="16"/>
      <c r="K9" s="20"/>
      <c r="L9" s="21"/>
      <c r="M9" s="21"/>
      <c r="N9" s="20"/>
      <c r="O9" s="147"/>
    </row>
    <row r="10" spans="2:15" ht="12" customHeight="1">
      <c r="B10" s="16"/>
      <c r="C10" s="23"/>
      <c r="D10" s="445"/>
      <c r="E10" s="390" t="s">
        <v>12</v>
      </c>
      <c r="F10" s="116"/>
      <c r="G10" s="23"/>
      <c r="H10" s="20"/>
      <c r="I10" s="39"/>
      <c r="J10" s="453" t="str">
        <f>IF(F5="","Scrivere il Codice Isin nella Cella F5",HYPERLINK(O11,"Vai al Display del Titolo con la sua quotazione"))</f>
        <v>Scrivere il Codice Isin nella Cella F5</v>
      </c>
      <c r="K10" s="454"/>
      <c r="L10" s="455"/>
      <c r="M10" s="21"/>
      <c r="N10" s="20"/>
      <c r="O10" s="147" t="s">
        <v>97</v>
      </c>
    </row>
    <row r="11" spans="2:20" ht="12" customHeight="1" thickBot="1">
      <c r="B11" s="16"/>
      <c r="C11" s="337" t="s">
        <v>90</v>
      </c>
      <c r="D11" s="445"/>
      <c r="E11" s="390" t="s">
        <v>111</v>
      </c>
      <c r="F11" s="5"/>
      <c r="G11" s="23"/>
      <c r="H11" s="20"/>
      <c r="I11" s="39"/>
      <c r="J11" s="456"/>
      <c r="K11" s="457"/>
      <c r="L11" s="458"/>
      <c r="M11" s="21"/>
      <c r="N11" s="20"/>
      <c r="O11" s="147" t="str">
        <f>CONCATENATE(O10,F5,"&amp;market=MOT&amp;lang=it")</f>
        <v>http://www.borsaitaliana.it/borsa/quotazioni/obbligazioni/obbligazioni-in-euro/dati-completi.html?isin=&amp;market=MOT&amp;lang=it</v>
      </c>
      <c r="P11" s="20"/>
      <c r="Q11" s="20"/>
      <c r="R11" s="20"/>
      <c r="S11" s="20"/>
      <c r="T11" s="20"/>
    </row>
    <row r="12" spans="2:20" ht="12" customHeight="1" thickTop="1">
      <c r="B12" s="16"/>
      <c r="C12" s="329">
        <v>0.125</v>
      </c>
      <c r="D12" s="445"/>
      <c r="E12" s="390" t="s">
        <v>92</v>
      </c>
      <c r="F12" s="6"/>
      <c r="G12" s="23"/>
      <c r="H12" s="20"/>
      <c r="I12" s="39"/>
      <c r="J12" s="20"/>
      <c r="K12" s="20"/>
      <c r="L12" s="20"/>
      <c r="M12" s="21"/>
      <c r="N12" s="20"/>
      <c r="P12" s="20"/>
      <c r="Q12" s="20"/>
      <c r="R12" s="20"/>
      <c r="S12" s="20"/>
      <c r="T12" s="20"/>
    </row>
    <row r="13" spans="2:20" ht="12" customHeight="1">
      <c r="B13" s="16"/>
      <c r="C13" s="23"/>
      <c r="D13" s="445"/>
      <c r="E13" s="390" t="s">
        <v>130</v>
      </c>
      <c r="F13" s="101">
        <f>IF(F7=0,0,IF(AND(F7&lt;G13,F6=1),G13,F7))</f>
        <v>0</v>
      </c>
      <c r="G13" s="262">
        <v>35431</v>
      </c>
      <c r="H13" s="20"/>
      <c r="I13" s="39"/>
      <c r="J13" s="385" t="s">
        <v>113</v>
      </c>
      <c r="K13" s="386">
        <v>10</v>
      </c>
      <c r="L13" s="20"/>
      <c r="M13" s="21"/>
      <c r="N13" s="20"/>
      <c r="P13" s="20"/>
      <c r="Q13" s="20"/>
      <c r="R13" s="20"/>
      <c r="S13" s="20"/>
      <c r="T13" s="20"/>
    </row>
    <row r="14" spans="2:20" ht="12" customHeight="1">
      <c r="B14" s="16"/>
      <c r="C14" s="23"/>
      <c r="D14" s="445"/>
      <c r="E14" s="443" t="s">
        <v>77</v>
      </c>
      <c r="F14" s="263">
        <f>IF(F8=0,0,IF(AND($F$6=1,F7&lt;G13),$F$8*(1+$F$18)^(YEARFRAC(F13,$F$7,F19-1)),IF(AND(F6=2,F7&lt;G13),F8+(F13-F7)*(F10-F8)/(F9-F7),$F$8)))</f>
        <v>0</v>
      </c>
      <c r="G14" s="262"/>
      <c r="H14" s="20"/>
      <c r="I14" s="39"/>
      <c r="J14" s="387" t="s">
        <v>114</v>
      </c>
      <c r="K14" s="386"/>
      <c r="L14" s="20"/>
      <c r="M14" s="21"/>
      <c r="N14" s="20"/>
      <c r="P14" s="20"/>
      <c r="Q14" s="20"/>
      <c r="R14" s="20"/>
      <c r="S14" s="20"/>
      <c r="T14" s="20"/>
    </row>
    <row r="15" spans="2:20" ht="12" customHeight="1">
      <c r="B15" s="16"/>
      <c r="C15" s="23"/>
      <c r="D15" s="445"/>
      <c r="E15" s="390" t="s">
        <v>76</v>
      </c>
      <c r="F15" s="137">
        <f>IF(F10=0,0,(F10-F14))</f>
        <v>0</v>
      </c>
      <c r="G15" s="23"/>
      <c r="H15" s="20"/>
      <c r="I15" s="39"/>
      <c r="M15" s="21"/>
      <c r="N15" s="20"/>
      <c r="P15" s="20"/>
      <c r="Q15" s="20"/>
      <c r="R15" s="20"/>
      <c r="S15" s="20"/>
      <c r="T15" s="20"/>
    </row>
    <row r="16" spans="2:20" ht="12" customHeight="1">
      <c r="B16" s="16"/>
      <c r="C16" s="201" t="s">
        <v>59</v>
      </c>
      <c r="D16" s="445"/>
      <c r="E16" s="391" t="s">
        <v>34</v>
      </c>
      <c r="F16" s="125">
        <f>IF(F6=3,100,IF(OR(F7=0,F14=0),100,IF(F14&gt;F10,F10,F10-C12*F15)))</f>
        <v>100</v>
      </c>
      <c r="G16" s="23"/>
      <c r="H16" s="20"/>
      <c r="I16" s="39"/>
      <c r="J16" s="411" t="s">
        <v>15</v>
      </c>
      <c r="K16" s="11">
        <f>IF(F22=0,0,"Cambio 1 Euro=")</f>
        <v>0</v>
      </c>
      <c r="L16" s="365">
        <f>IF(F22=0,0,F22)</f>
        <v>0</v>
      </c>
      <c r="M16" s="21"/>
      <c r="N16" s="20"/>
      <c r="P16" s="203"/>
      <c r="Q16" s="20"/>
      <c r="R16" s="20"/>
      <c r="S16" s="20"/>
      <c r="T16" s="20"/>
    </row>
    <row r="17" spans="2:20" ht="12" customHeight="1">
      <c r="B17" s="16"/>
      <c r="C17" s="201" t="s">
        <v>60</v>
      </c>
      <c r="D17" s="445"/>
      <c r="E17" s="392" t="s">
        <v>37</v>
      </c>
      <c r="F17" s="52">
        <f>IF(OR(F7=0,F9=0),0,YEARFRAC(F9,F7,F20-1))</f>
        <v>0</v>
      </c>
      <c r="G17" s="24"/>
      <c r="H17" s="46"/>
      <c r="I17" s="76"/>
      <c r="J17" s="412" t="s">
        <v>16</v>
      </c>
      <c r="K17" s="25" t="s">
        <v>141</v>
      </c>
      <c r="L17" s="25" t="s">
        <v>142</v>
      </c>
      <c r="M17" s="77"/>
      <c r="N17" s="46"/>
      <c r="P17" s="203"/>
      <c r="Q17" s="20"/>
      <c r="R17" s="20"/>
      <c r="S17" s="20"/>
      <c r="T17" s="20"/>
    </row>
    <row r="18" spans="2:20" ht="12" customHeight="1">
      <c r="B18" s="16"/>
      <c r="C18" s="201" t="s">
        <v>61</v>
      </c>
      <c r="D18" s="446"/>
      <c r="E18" s="392" t="s">
        <v>38</v>
      </c>
      <c r="F18" s="29">
        <f>IF(OR(F7=0,F8=0,F9=0,F10=0),0,IF(OR(F6=1,F6=3),POWER(10,LOG10(F10/F8)/F17)-1,""))</f>
        <v>0</v>
      </c>
      <c r="H18" s="46"/>
      <c r="I18" s="76"/>
      <c r="J18" s="413" t="s">
        <v>140</v>
      </c>
      <c r="K18" s="9"/>
      <c r="L18" s="102">
        <f>IF(F22=0,0,K18/L16)</f>
        <v>0</v>
      </c>
      <c r="M18" s="77"/>
      <c r="N18" s="46"/>
      <c r="P18" s="20"/>
      <c r="Q18" s="20"/>
      <c r="R18" s="20"/>
      <c r="S18" s="20"/>
      <c r="T18" s="20"/>
    </row>
    <row r="19" spans="2:20" ht="22.5">
      <c r="B19" s="16"/>
      <c r="C19" s="202" t="s">
        <v>62</v>
      </c>
      <c r="D19" s="332"/>
      <c r="E19" s="327" t="s">
        <v>89</v>
      </c>
      <c r="F19" s="8">
        <v>2</v>
      </c>
      <c r="H19" s="46"/>
      <c r="I19" s="76"/>
      <c r="J19" s="413" t="s">
        <v>75</v>
      </c>
      <c r="K19" s="30">
        <f>K18*F24/100</f>
        <v>0</v>
      </c>
      <c r="L19" s="31">
        <f>IF(F22=0,0,K19/L16)</f>
        <v>0</v>
      </c>
      <c r="M19" s="77"/>
      <c r="N19" s="46"/>
      <c r="O19" s="315"/>
      <c r="P19" s="20"/>
      <c r="Q19" s="20"/>
      <c r="R19" s="20"/>
      <c r="S19" s="20"/>
      <c r="T19" s="20"/>
    </row>
    <row r="20" spans="2:20" ht="22.5">
      <c r="B20" s="16"/>
      <c r="C20" s="147"/>
      <c r="D20" s="18"/>
      <c r="E20" s="65" t="s">
        <v>91</v>
      </c>
      <c r="F20" s="8">
        <v>2</v>
      </c>
      <c r="H20" s="32"/>
      <c r="I20" s="81"/>
      <c r="J20" s="413" t="s">
        <v>14</v>
      </c>
      <c r="K20" s="158">
        <f>K18*F27/100</f>
        <v>0</v>
      </c>
      <c r="L20" s="31">
        <f>IF(F22=0,0,K20/L16)</f>
        <v>0</v>
      </c>
      <c r="M20" s="82"/>
      <c r="N20" s="32"/>
      <c r="P20" s="20"/>
      <c r="Q20" s="20"/>
      <c r="R20" s="20"/>
      <c r="S20" s="20"/>
      <c r="T20" s="20"/>
    </row>
    <row r="21" spans="1:20" ht="12.75">
      <c r="A21" s="147">
        <f>IF($E$25=1,$F$25*$K$18/100,$K$19*$F$25/100)</f>
        <v>0</v>
      </c>
      <c r="B21" s="16"/>
      <c r="C21" s="156"/>
      <c r="H21" s="32"/>
      <c r="I21" s="81"/>
      <c r="J21" s="413" t="s">
        <v>143</v>
      </c>
      <c r="K21" s="52">
        <f>IF(F22&lt;&gt;0,L21*F22,IF(AND($K$13=0,$K$14=0),$A$21,IF(AND($K$13=0,$K$14=0),A21,IF(AND($K$13&lt;&gt;"",$K$14=0),MAX($K$13,A21),IF(AND($K$13=0,$K$14&lt;&gt;0),MIN($K$14,A21),IF(A21&lt;$K$13,$K$13,IF(A21&gt;$K$14,$K$14,A21)))))))</f>
        <v>10</v>
      </c>
      <c r="L21" s="31">
        <f>IF(F22&lt;&gt;0,IF(AND($K$13=0,$K$14=0),A21/F22,IF(AND($K$13&lt;&gt;0,$K$14=0),MAX($K$13,A21/F22),IF(AND($K$13=0,$K$14&lt;&gt;0),MIN($K$14,A21/F22),IF(A21/F22&lt;$K$13,$K$13,IF(A21/F22&gt;$K$14,$K$14,A21/F22))))),0)</f>
        <v>0</v>
      </c>
      <c r="M21" s="82"/>
      <c r="N21" s="32"/>
      <c r="O21" s="122"/>
      <c r="P21" s="20"/>
      <c r="Q21" s="20"/>
      <c r="R21" s="20"/>
      <c r="S21" s="20"/>
      <c r="T21" s="318"/>
    </row>
    <row r="22" spans="2:20" ht="12.75">
      <c r="B22" s="16"/>
      <c r="C22" s="467" t="s">
        <v>105</v>
      </c>
      <c r="D22" s="178"/>
      <c r="E22" s="121" t="s">
        <v>135</v>
      </c>
      <c r="F22" s="3"/>
      <c r="H22" s="32"/>
      <c r="I22" s="81"/>
      <c r="J22" s="413" t="s">
        <v>4</v>
      </c>
      <c r="K22" s="10"/>
      <c r="L22" s="348"/>
      <c r="M22" s="82"/>
      <c r="N22" s="32"/>
      <c r="O22" s="355"/>
      <c r="P22" s="267"/>
      <c r="Q22" s="20"/>
      <c r="R22" s="20"/>
      <c r="S22" s="20"/>
      <c r="T22" s="20"/>
    </row>
    <row r="23" spans="2:20" ht="12.75">
      <c r="B23" s="16"/>
      <c r="C23" s="468"/>
      <c r="D23" s="393" t="s">
        <v>101</v>
      </c>
      <c r="E23" s="48"/>
      <c r="F23" s="4"/>
      <c r="G23" s="81"/>
      <c r="H23" s="32"/>
      <c r="I23" s="81"/>
      <c r="J23" s="413" t="str">
        <f>IF(OR(F6=1,F6=3),"","Rateo Lordo")</f>
        <v>Rateo Lordo</v>
      </c>
      <c r="K23" s="30">
        <f>IF(K18=0,0,F33*K18/100)</f>
        <v>0</v>
      </c>
      <c r="L23" s="31">
        <f>IF(F22=0,0,K23/L16)</f>
        <v>0</v>
      </c>
      <c r="M23" s="82"/>
      <c r="N23" s="32"/>
      <c r="O23" s="315"/>
      <c r="P23" s="267"/>
      <c r="Q23" s="20"/>
      <c r="R23" s="20"/>
      <c r="S23" s="20"/>
      <c r="T23" s="20"/>
    </row>
    <row r="24" spans="2:20" ht="12.75">
      <c r="B24" s="16"/>
      <c r="C24" s="468"/>
      <c r="D24" s="394" t="s">
        <v>7</v>
      </c>
      <c r="E24" s="114"/>
      <c r="F24" s="116"/>
      <c r="G24" s="84"/>
      <c r="H24" s="32"/>
      <c r="I24" s="81"/>
      <c r="J24" s="413" t="s">
        <v>3</v>
      </c>
      <c r="K24" s="164">
        <f>IF($K$18=0,0,IF($F$6=3,(K19+K21+K22)/$K$18*100-$F$26+$F$8,(K19-K20+K21+K22)/$K$18*100))</f>
        <v>0</v>
      </c>
      <c r="L24" s="293">
        <f>IF($L$18=0,0,IF($F$6=3,(L19+L21+L22)/$L$18*100-$F$26+$F$8,(L19-L20+L21+L22)/$L$18*100))</f>
        <v>0</v>
      </c>
      <c r="M24" s="82"/>
      <c r="N24" s="32"/>
      <c r="O24" s="313"/>
      <c r="P24" s="324"/>
      <c r="Q24" s="20"/>
      <c r="R24" s="20"/>
      <c r="S24" s="20"/>
      <c r="T24" s="20"/>
    </row>
    <row r="25" spans="2:20" ht="21.75" customHeight="1">
      <c r="B25" s="16"/>
      <c r="C25" s="468"/>
      <c r="D25" s="394" t="str">
        <f>IF(F6=4,"Commissioni % sul   NOMINALE","Commissioni % sul prezzo di acquisto")</f>
        <v>Commissioni % sul prezzo di acquisto</v>
      </c>
      <c r="E25" s="338">
        <v>2</v>
      </c>
      <c r="F25" s="106"/>
      <c r="G25" s="84"/>
      <c r="H25" s="32"/>
      <c r="I25" s="81"/>
      <c r="J25" s="413" t="s">
        <v>21</v>
      </c>
      <c r="K25" s="30">
        <f>IF(F6=3,K20*C12,-K20*C12)</f>
        <v>0</v>
      </c>
      <c r="L25" s="31">
        <f>IF(F22=0,0,K25/L16)</f>
        <v>0</v>
      </c>
      <c r="M25" s="82"/>
      <c r="N25" s="32"/>
      <c r="P25" s="267"/>
      <c r="Q25" s="354"/>
      <c r="R25" s="20"/>
      <c r="S25" s="20"/>
      <c r="T25" s="20"/>
    </row>
    <row r="26" spans="2:20" ht="12.75">
      <c r="B26" s="16"/>
      <c r="C26" s="468"/>
      <c r="D26" s="395" t="s">
        <v>39</v>
      </c>
      <c r="E26" s="110"/>
      <c r="F26" s="53">
        <f>IF(F23=0,0,IF(F6=3,F8+(F15*(F23-F7)/(F9-F7)),IF(F6=1,$F$14*(1+$F$18)^(YEARFRAC(F23,$F$13,F20-1)),$F$15/YEARFRAC(F13,F9,F20-1)*YEARFRAC(F13,F23,F20-1)+$F$14)))</f>
        <v>0</v>
      </c>
      <c r="H26" s="32"/>
      <c r="I26" s="81"/>
      <c r="J26" s="413" t="str">
        <f>IF(OR(F6=1,F6=3),"","Imposta sul rateo")</f>
        <v>Imposta sul rateo</v>
      </c>
      <c r="K26" s="30">
        <f>IF(F6=3,K23*C12,-K23*C12)</f>
        <v>0</v>
      </c>
      <c r="L26" s="31">
        <f>IF(F22=0,0,K26/L16)</f>
        <v>0</v>
      </c>
      <c r="M26" s="82"/>
      <c r="N26" s="32"/>
      <c r="O26" s="122"/>
      <c r="P26" s="267"/>
      <c r="Q26" s="20"/>
      <c r="R26" s="20"/>
      <c r="S26" s="20"/>
      <c r="T26" s="20"/>
    </row>
    <row r="27" spans="2:20" ht="12.75">
      <c r="B27" s="16"/>
      <c r="C27" s="468"/>
      <c r="D27" s="394" t="s">
        <v>14</v>
      </c>
      <c r="E27" s="114"/>
      <c r="F27" s="123">
        <f>IF(OR($F$8=0,$F$7=0,F23=0,F24=0,$F$14&gt;$F$10),0,IF(F6=3,IF(F9=F7,0,FLOOR(F15*(F9-F23)/(F9-F7),0.000001)),F26-$F$14))</f>
        <v>0</v>
      </c>
      <c r="G27" s="320"/>
      <c r="H27" s="46"/>
      <c r="I27" s="76"/>
      <c r="J27" s="410" t="s">
        <v>144</v>
      </c>
      <c r="K27" s="35">
        <f>IF(F6=3,K19+K21+K22+K25+K26,K19+K21+K22+K23+K25+K26)</f>
        <v>10</v>
      </c>
      <c r="L27" s="80">
        <f>IF($F$22=0,0,K27/$F$22+L22)</f>
        <v>0</v>
      </c>
      <c r="M27" s="77"/>
      <c r="N27" s="46"/>
      <c r="O27" s="315"/>
      <c r="P27" s="267"/>
      <c r="Q27" s="20"/>
      <c r="R27" s="20"/>
      <c r="S27" s="20"/>
      <c r="T27" s="20"/>
    </row>
    <row r="28" spans="2:20" ht="12.75">
      <c r="B28" s="16"/>
      <c r="C28" s="468"/>
      <c r="D28" s="396" t="s">
        <v>74</v>
      </c>
      <c r="E28" s="120"/>
      <c r="F28" s="130">
        <f>F24-F27</f>
        <v>0</v>
      </c>
      <c r="G28" s="126"/>
      <c r="H28" s="46"/>
      <c r="I28" s="76"/>
      <c r="J28" s="176"/>
      <c r="K28" s="295"/>
      <c r="L28" s="177"/>
      <c r="M28" s="77"/>
      <c r="N28" s="46"/>
      <c r="O28" s="169"/>
      <c r="P28" s="267"/>
      <c r="Q28" s="20"/>
      <c r="R28" s="20"/>
      <c r="S28" s="20"/>
      <c r="T28" s="20"/>
    </row>
    <row r="29" spans="2:20" ht="12.75">
      <c r="B29" s="16"/>
      <c r="C29" s="468"/>
      <c r="D29" s="396" t="s">
        <v>21</v>
      </c>
      <c r="E29" s="120"/>
      <c r="F29" s="326">
        <f>IF(F6=3,F27*C12,-F27*C12)</f>
        <v>0</v>
      </c>
      <c r="G29" s="83"/>
      <c r="H29" s="46"/>
      <c r="I29" s="76"/>
      <c r="J29" s="411" t="s">
        <v>15</v>
      </c>
      <c r="K29" s="294">
        <f>IF(F22=0,0,"Cambio 1 Euro=")</f>
        <v>0</v>
      </c>
      <c r="L29" s="362">
        <f>IF(K29=0,0,VLOOKUP(MAX(C65:C144),C65:D144,2,FALSE))</f>
        <v>0</v>
      </c>
      <c r="M29" s="77"/>
      <c r="N29" s="46"/>
      <c r="O29" s="315"/>
      <c r="P29" s="267"/>
      <c r="Q29" s="20"/>
      <c r="R29" s="20"/>
      <c r="S29" s="20"/>
      <c r="T29" s="20"/>
    </row>
    <row r="30" spans="2:20" ht="12.75">
      <c r="B30" s="16"/>
      <c r="C30" s="468"/>
      <c r="D30" s="393" t="s">
        <v>146</v>
      </c>
      <c r="E30" s="48"/>
      <c r="F30" s="162">
        <f>IF(OR(F23=0,F24=0,F10=0),0,F16)</f>
        <v>0</v>
      </c>
      <c r="G30" s="84"/>
      <c r="H30" s="46"/>
      <c r="I30" s="76"/>
      <c r="J30" s="412" t="s">
        <v>17</v>
      </c>
      <c r="K30" s="25" t="s">
        <v>141</v>
      </c>
      <c r="L30" s="25" t="s">
        <v>142</v>
      </c>
      <c r="M30" s="77"/>
      <c r="N30" s="46"/>
      <c r="O30" s="324"/>
      <c r="P30" s="267"/>
      <c r="Q30" s="20"/>
      <c r="R30" s="94"/>
      <c r="S30" s="134"/>
      <c r="T30" s="20"/>
    </row>
    <row r="31" spans="2:20" ht="12.75">
      <c r="B31" s="16"/>
      <c r="C31" s="468"/>
      <c r="D31" s="397" t="str">
        <f>IF(OR(F6=3,F6=1),"","Data Ultima Cedola")</f>
        <v>Data Ultima Cedola</v>
      </c>
      <c r="E31" s="115"/>
      <c r="F31" s="41">
        <f>IF(OR($F$11=0,F23=0,F6=3,F6=1),0,COUPPCD(F23,$F$9,$F$11,1))</f>
        <v>0</v>
      </c>
      <c r="G31" s="84"/>
      <c r="H31" s="85"/>
      <c r="I31" s="86"/>
      <c r="J31" s="413" t="s">
        <v>140</v>
      </c>
      <c r="K31" s="140">
        <f>K18</f>
        <v>0</v>
      </c>
      <c r="L31" s="31">
        <f>IF(L29=0,0,K31/L29)</f>
        <v>0</v>
      </c>
      <c r="M31" s="87"/>
      <c r="N31" s="85"/>
      <c r="O31" s="324"/>
      <c r="P31" s="267"/>
      <c r="Q31" s="20"/>
      <c r="R31" s="20"/>
      <c r="S31" s="20"/>
      <c r="T31" s="20"/>
    </row>
    <row r="32" spans="2:20" s="42" customFormat="1" ht="12.75">
      <c r="B32" s="40"/>
      <c r="C32" s="468"/>
      <c r="D32" s="397" t="str">
        <f>IF(OR(F6=1,F6=3),"","Data Prossima Cedola")</f>
        <v>Data Prossima Cedola</v>
      </c>
      <c r="E32" s="115"/>
      <c r="F32" s="41">
        <f>IF(OR($F$11=0,F23=0,F6=3,F6=1),0,COUPNCD(F23,$F$9,$F$11,1))</f>
        <v>0</v>
      </c>
      <c r="G32" s="319"/>
      <c r="H32" s="89"/>
      <c r="I32" s="90"/>
      <c r="J32" s="413" t="s">
        <v>75</v>
      </c>
      <c r="K32" s="30">
        <f>IF(F42&lt;&gt;0,K31*F43/100,F16*K31/100)</f>
        <v>0</v>
      </c>
      <c r="L32" s="31">
        <f>IF(L29=0,0,K32/L29)</f>
        <v>0</v>
      </c>
      <c r="M32" s="43"/>
      <c r="N32" s="89"/>
      <c r="O32" s="169"/>
      <c r="P32" s="159"/>
      <c r="Q32" s="22"/>
      <c r="R32" s="89"/>
      <c r="S32" s="89"/>
      <c r="T32" s="89"/>
    </row>
    <row r="33" spans="2:20" s="42" customFormat="1" ht="12.75">
      <c r="B33" s="40"/>
      <c r="C33" s="468"/>
      <c r="D33" s="394" t="str">
        <f>IF(OR(F6=1,F6=3),"","Rateo Lordo")</f>
        <v>Rateo Lordo</v>
      </c>
      <c r="E33" s="114"/>
      <c r="F33" s="128">
        <f>IF(OR(F23=0,F6=1),0,IF(F6=3,0,IF(F19=2,FLOOR($F$12/$F$11*(F23-F31)/(F32-F31)*100,0.000001),YEARFRAC(F31,F23,F19-1)*F12*100)))</f>
        <v>0</v>
      </c>
      <c r="G33" s="88"/>
      <c r="H33" s="89"/>
      <c r="I33" s="90"/>
      <c r="J33" s="413" t="s">
        <v>69</v>
      </c>
      <c r="K33" s="157">
        <f>IF(F42&lt;&gt;0,F46*K31/100,F15*K31/100)</f>
        <v>0</v>
      </c>
      <c r="L33" s="33">
        <f>IF(L29=0,0,K33/L29)</f>
        <v>0</v>
      </c>
      <c r="M33" s="43"/>
      <c r="N33" s="89"/>
      <c r="O33" s="122"/>
      <c r="P33" s="267"/>
      <c r="Q33" s="127"/>
      <c r="R33" s="129"/>
      <c r="S33" s="129"/>
      <c r="T33" s="89"/>
    </row>
    <row r="34" spans="1:20" s="42" customFormat="1" ht="12.75">
      <c r="A34" s="147">
        <f>IF($E$44=1,$F$44*$K$18/100,$K$32*$F$44/100)</f>
        <v>0</v>
      </c>
      <c r="B34" s="40"/>
      <c r="C34" s="468"/>
      <c r="D34" s="394" t="str">
        <f>IF(OR(F6=1,F6=3),"","Rateo Netto")</f>
        <v>Rateo Netto</v>
      </c>
      <c r="E34" s="114"/>
      <c r="F34" s="125">
        <f>F33*(1-C12)</f>
        <v>0</v>
      </c>
      <c r="G34" s="88"/>
      <c r="H34" s="89"/>
      <c r="I34" s="90"/>
      <c r="J34" s="413" t="s">
        <v>143</v>
      </c>
      <c r="K34" s="102">
        <f>IF(F42=0,0,IF(F41&lt;&gt;0,L34*F41,IF(AND($K$13=0,$K$14=0),A34,IF(AND($K$13&lt;&gt;0,$K$14=0),MAX($K$13,A34),IF(AND($K$13=0,$K$14&lt;&gt;0),MIN($K$14,A34),IF(A34&lt;$K$13,$K$13,IF(A34&gt;$K$14,$K$14,A34)))))))</f>
        <v>0</v>
      </c>
      <c r="L34" s="31">
        <f>IF(F41&lt;&gt;0,IF(OR(L18=0,F42=0),0,IF(F42&lt;&gt;0,IF(AND($K$13=0,$K$14=0),A34/F41,IF(AND($K$13&lt;&gt;0,$K$14=0),MAX($K$13,A34/F41),IF(AND($K$13=0,$K$14&lt;&gt;0),MIN($K$14,A34/F41),IF(A34/F41&lt;$K$13,$K$13,IF(A34/F41&gt;$K$14,$K$14,A34/F41))))),K34/VLOOKUP(F42,C64:D144,2,FALSE))),0)</f>
        <v>0</v>
      </c>
      <c r="M34" s="43"/>
      <c r="N34" s="89"/>
      <c r="O34" s="321"/>
      <c r="P34" s="325"/>
      <c r="Q34" s="127"/>
      <c r="R34" s="129"/>
      <c r="S34" s="129"/>
      <c r="T34" s="89"/>
    </row>
    <row r="35" spans="2:20" ht="12.75">
      <c r="B35" s="16"/>
      <c r="C35" s="469"/>
      <c r="D35" s="398" t="s">
        <v>133</v>
      </c>
      <c r="E35" s="119"/>
      <c r="F35" s="44">
        <f>IF(E25=1,F24+F25+F29+F34,F24+F25*F24/100+F29+F34)</f>
        <v>0</v>
      </c>
      <c r="G35" s="143">
        <f>IF(OR(F22=0,F22=""),0,F35/F22)</f>
        <v>0</v>
      </c>
      <c r="H35" s="22"/>
      <c r="I35" s="91"/>
      <c r="J35" s="413" t="s">
        <v>4</v>
      </c>
      <c r="K35" s="10"/>
      <c r="L35" s="146"/>
      <c r="M35" s="71"/>
      <c r="N35" s="22"/>
      <c r="O35" s="324"/>
      <c r="P35" s="20"/>
      <c r="Q35" s="20"/>
      <c r="R35" s="20"/>
      <c r="S35" s="20"/>
      <c r="T35" s="20"/>
    </row>
    <row r="36" spans="2:20" ht="12.75">
      <c r="B36" s="16"/>
      <c r="C36" s="156"/>
      <c r="D36" s="42"/>
      <c r="F36" s="157"/>
      <c r="G36" s="42"/>
      <c r="H36" s="20"/>
      <c r="I36" s="39"/>
      <c r="J36" s="413" t="s">
        <v>70</v>
      </c>
      <c r="K36" s="30">
        <f>IF(OR(F11=0,F12=0),0,IF(F42&lt;&gt;0,F52*K31/100,F12/F11*K31))</f>
        <v>0</v>
      </c>
      <c r="L36" s="31">
        <f>IF(L29=0,0,K36/L29)</f>
        <v>0</v>
      </c>
      <c r="M36" s="21"/>
      <c r="N36" s="20"/>
      <c r="O36" s="122"/>
      <c r="P36" s="323"/>
      <c r="Q36" s="32"/>
      <c r="R36" s="46"/>
      <c r="S36" s="20"/>
      <c r="T36" s="20"/>
    </row>
    <row r="37" spans="2:20" ht="12">
      <c r="B37" s="16"/>
      <c r="C37" s="156"/>
      <c r="D37" s="42"/>
      <c r="E37" s="42"/>
      <c r="F37" s="42"/>
      <c r="G37" s="42"/>
      <c r="H37" s="20"/>
      <c r="I37" s="39"/>
      <c r="J37" s="444" t="s">
        <v>24</v>
      </c>
      <c r="K37" s="175">
        <f>IF($K$18=0,0,IF($F$6=3,$F$8,IF(AND($F$6=1,$F$42=""),$F$8,IF(AND($F$6=2,$F$8&lt;100,$F$42=""),$F$8,IF(AND($F$6=2,$F$42=""),$F$10,(K32-K33-K34-K35)/$K$31*100)))))</f>
        <v>0</v>
      </c>
      <c r="L37" s="366">
        <f>IF(L18=0,0,IF($K$18=0,0,IF($F$6=3,$F$8,IF(AND($F$6=1,$F$42=""),$F$8,IF(AND($F$6=2,$F$8&lt;100,$F$42=""),$F$8,IF(AND($F$6=2,$F$42=""),$F$10,(L32-L33-L34-L35)/$L$31*100))))))</f>
        <v>0</v>
      </c>
      <c r="M37" s="21"/>
      <c r="N37" s="20"/>
      <c r="O37" s="314"/>
      <c r="P37" s="314"/>
      <c r="Q37" s="316"/>
      <c r="R37" s="46"/>
      <c r="S37" s="20"/>
      <c r="T37" s="20"/>
    </row>
    <row r="38" spans="2:20" ht="12.75">
      <c r="B38" s="16"/>
      <c r="C38" s="156"/>
      <c r="D38" s="42"/>
      <c r="E38" s="42"/>
      <c r="F38" s="42"/>
      <c r="G38" s="42"/>
      <c r="H38" s="20"/>
      <c r="I38" s="39"/>
      <c r="J38" s="413" t="s">
        <v>23</v>
      </c>
      <c r="K38" s="30">
        <f>IF(F42&lt;&gt;0,-F46*C12*K31/100,0)</f>
        <v>0</v>
      </c>
      <c r="L38" s="31">
        <f>IF(L29=0,0,K38/L29)</f>
        <v>0</v>
      </c>
      <c r="M38" s="21"/>
      <c r="N38" s="20"/>
      <c r="O38" s="356"/>
      <c r="P38" s="20"/>
      <c r="T38" s="20"/>
    </row>
    <row r="39" spans="2:20" ht="12.75">
      <c r="B39" s="16"/>
      <c r="C39" s="467" t="s">
        <v>106</v>
      </c>
      <c r="D39" s="400" t="s">
        <v>8</v>
      </c>
      <c r="E39" s="150"/>
      <c r="F39" s="151"/>
      <c r="G39" s="47"/>
      <c r="H39" s="20"/>
      <c r="I39" s="39"/>
      <c r="J39" s="413" t="s">
        <v>87</v>
      </c>
      <c r="K39" s="30">
        <f>IF(F42&lt;&gt;0,-F52*K31/100*C12,-K36*C12)</f>
        <v>0</v>
      </c>
      <c r="L39" s="31">
        <f>IF(L29=0,0,K39/L29)</f>
        <v>0</v>
      </c>
      <c r="M39" s="21"/>
      <c r="N39" s="20"/>
      <c r="O39" s="122"/>
      <c r="P39" s="20"/>
      <c r="T39" s="20"/>
    </row>
    <row r="40" spans="2:20" ht="12.75">
      <c r="B40" s="16"/>
      <c r="C40" s="468"/>
      <c r="D40" s="401">
        <f>IF(F6=3,"ATTENZIONE : in caso di BOT non è prevista la vendita","")</f>
      </c>
      <c r="E40" s="152"/>
      <c r="F40" s="153"/>
      <c r="G40" s="331"/>
      <c r="H40" s="20"/>
      <c r="I40" s="39"/>
      <c r="J40" s="414" t="s">
        <v>25</v>
      </c>
      <c r="K40" s="357">
        <f>IF(OR(F42="",F42=F50),K32-K34-K35+K36+K38+K39-K43,K32-K34-K35+K36+K38+K39)</f>
        <v>0</v>
      </c>
      <c r="L40" s="185">
        <f>IF(F23=0,0,IF(AND(F42&lt;&gt;0,VLOOKUP(F42,C64:D144,2,FALSE)&lt;&gt;0),K40/VLOOKUP(F42,C64:D144,2,FALSE)-L35,IF(AND(F42&lt;&gt;0,VLOOKUP(F42,C64:D144,2,FALSE)=0),0,IF(AND(F9&lt;&gt;0,VLOOKUP(F9,C64:D144,2,FALSE)&lt;&gt;0),K40/VLOOKUP(F9,C64:D144,2,FALSE)-L35-L43,0))))</f>
        <v>0</v>
      </c>
      <c r="M40" s="21"/>
      <c r="N40" s="20"/>
      <c r="O40" s="322"/>
      <c r="P40" s="20"/>
      <c r="Q40" s="20"/>
      <c r="R40" s="20"/>
      <c r="S40" s="20"/>
      <c r="T40" s="20"/>
    </row>
    <row r="41" spans="2:20" ht="12.75">
      <c r="B41" s="16"/>
      <c r="C41" s="468"/>
      <c r="D41" s="402"/>
      <c r="E41" s="121" t="s">
        <v>135</v>
      </c>
      <c r="F41" s="184">
        <f>IF(F9="",0,VLOOKUP(F42,C64:D144,2,FALSE))</f>
        <v>0</v>
      </c>
      <c r="H41" s="20"/>
      <c r="I41" s="39"/>
      <c r="J41" s="415" t="s">
        <v>5</v>
      </c>
      <c r="K41" s="149"/>
      <c r="L41" s="363"/>
      <c r="M41" s="21"/>
      <c r="N41" s="20"/>
      <c r="O41" s="324"/>
      <c r="P41" s="20"/>
      <c r="Q41" s="20"/>
      <c r="R41" s="20"/>
      <c r="S41" s="20"/>
      <c r="T41" s="20"/>
    </row>
    <row r="42" spans="2:20" ht="12.75">
      <c r="B42" s="16"/>
      <c r="C42" s="468"/>
      <c r="D42" s="403" t="str">
        <f>IF(F6=3,"","Data  vendita (data del regolamento)")</f>
        <v>Data  vendita (data del regolamento)</v>
      </c>
      <c r="E42" s="114"/>
      <c r="F42" s="138"/>
      <c r="G42" s="49"/>
      <c r="H42" s="20"/>
      <c r="I42" s="39"/>
      <c r="J42" s="176"/>
      <c r="K42" s="295"/>
      <c r="L42" s="364"/>
      <c r="M42" s="21"/>
      <c r="N42" s="20"/>
      <c r="O42" s="122"/>
      <c r="P42" s="20"/>
      <c r="Q42" s="46"/>
      <c r="R42" s="131"/>
      <c r="S42" s="20"/>
      <c r="T42" s="20"/>
    </row>
    <row r="43" spans="2:20" ht="12.75">
      <c r="B43" s="16"/>
      <c r="C43" s="468"/>
      <c r="D43" s="403" t="str">
        <f>IF(F6=3,"","Prezzo vendita")</f>
        <v>Prezzo vendita</v>
      </c>
      <c r="E43" s="114"/>
      <c r="F43" s="349"/>
      <c r="G43" s="84"/>
      <c r="H43" s="20"/>
      <c r="I43" s="39"/>
      <c r="J43" s="416" t="s">
        <v>66</v>
      </c>
      <c r="K43" s="296"/>
      <c r="L43" s="146"/>
      <c r="M43" s="21"/>
      <c r="N43" s="20"/>
      <c r="O43" s="359"/>
      <c r="P43" s="20"/>
      <c r="Q43" s="46"/>
      <c r="R43" s="131"/>
      <c r="S43" s="20"/>
      <c r="T43" s="20"/>
    </row>
    <row r="44" spans="2:20" ht="19.5" customHeight="1">
      <c r="B44" s="16"/>
      <c r="C44" s="468"/>
      <c r="D44" s="403"/>
      <c r="E44" s="339">
        <v>2</v>
      </c>
      <c r="F44" s="1"/>
      <c r="G44" s="84"/>
      <c r="H44" s="20"/>
      <c r="I44" s="39"/>
      <c r="J44" s="409" t="s">
        <v>145</v>
      </c>
      <c r="K44" s="30">
        <f>IF(OR(K18=0,F12=0,F11=0),0,K18*F12/F11*(1-C12)-K43)</f>
        <v>0</v>
      </c>
      <c r="L44" s="183"/>
      <c r="M44" s="21"/>
      <c r="N44" s="20"/>
      <c r="O44" s="360"/>
      <c r="P44" s="20"/>
      <c r="Q44" s="46"/>
      <c r="R44" s="131"/>
      <c r="S44" s="20"/>
      <c r="T44" s="20"/>
    </row>
    <row r="45" spans="2:20" ht="12.75">
      <c r="B45" s="16"/>
      <c r="C45" s="468"/>
      <c r="D45" s="404" t="str">
        <f>IF(F6=3,"","Prezzo Teorico")</f>
        <v>Prezzo Teorico</v>
      </c>
      <c r="E45" s="110"/>
      <c r="F45" s="18">
        <f>IF(F6=3,0,IF(F42=0,0,IF($F$6=1,$F$14*(1+$F$18)^(YEARFRAC(F42,$F$13,$F$20-1)),$F$15/YEARFRAC(F13,F9,F20-1)*YEARFRAC(F13,F42,F20-1)+$F$14)))</f>
        <v>0</v>
      </c>
      <c r="G45" s="39"/>
      <c r="H45" s="20"/>
      <c r="I45" s="39"/>
      <c r="J45" s="417"/>
      <c r="M45" s="21"/>
      <c r="N45" s="20"/>
      <c r="O45" s="360"/>
      <c r="P45" s="20"/>
      <c r="Q45" s="46"/>
      <c r="R45" s="131"/>
      <c r="S45" s="20"/>
      <c r="T45" s="20"/>
    </row>
    <row r="46" spans="2:20" ht="12.75">
      <c r="B46" s="16"/>
      <c r="C46" s="468"/>
      <c r="D46" s="405" t="str">
        <f>IF(F6=3,"","Disaggio Lordo")</f>
        <v>Disaggio Lordo</v>
      </c>
      <c r="E46" s="114"/>
      <c r="F46" s="124">
        <f>IF(F6=3,0,IF(OR($F$8=0,$F$7=0,F42=0,F43=0,$F$14&gt;$F$10),0,F45-$F$14))</f>
        <v>0</v>
      </c>
      <c r="G46" s="84"/>
      <c r="H46" s="20"/>
      <c r="I46" s="39"/>
      <c r="J46" s="444" t="s">
        <v>0</v>
      </c>
      <c r="K46" s="125">
        <f>IF(K18=0,0,K37-K24)</f>
        <v>0</v>
      </c>
      <c r="L46" s="358">
        <f>IF(L18=0,0,L37/L29-L24/L16)</f>
        <v>0</v>
      </c>
      <c r="M46" s="21"/>
      <c r="N46" s="20"/>
      <c r="O46" s="361"/>
      <c r="P46" s="20"/>
      <c r="Q46" s="20"/>
      <c r="R46" s="20"/>
      <c r="S46" s="20"/>
      <c r="T46" s="20"/>
    </row>
    <row r="47" spans="2:20" ht="12.75">
      <c r="B47" s="16"/>
      <c r="C47" s="468"/>
      <c r="D47" s="405" t="str">
        <f>IF(F6=3,"","Corso Super Secco")</f>
        <v>Corso Super Secco</v>
      </c>
      <c r="E47" s="114"/>
      <c r="F47" s="136">
        <f>IF(F6=3,0,F43-F46)</f>
        <v>0</v>
      </c>
      <c r="G47" s="84"/>
      <c r="H47" s="20"/>
      <c r="I47" s="39"/>
      <c r="J47" s="418" t="s">
        <v>88</v>
      </c>
      <c r="K47" s="174">
        <f>IF(K46&lt;0,0,K46*C12)</f>
        <v>0</v>
      </c>
      <c r="L47" s="358">
        <f>IF(L46&lt;0,0,L46*D12)</f>
        <v>0</v>
      </c>
      <c r="M47" s="21"/>
      <c r="N47" s="20"/>
      <c r="P47" s="20"/>
      <c r="Q47" s="20"/>
      <c r="R47" s="20"/>
      <c r="S47" s="20"/>
      <c r="T47" s="20"/>
    </row>
    <row r="48" spans="2:20" ht="12.75">
      <c r="B48" s="16"/>
      <c r="C48" s="468"/>
      <c r="D48" s="406" t="str">
        <f>IF(F6=3,"","Imposta sul disaggio")</f>
        <v>Imposta sul disaggio</v>
      </c>
      <c r="E48" s="114"/>
      <c r="F48" s="125">
        <f>IF(F6=3,0,F46*C12)</f>
        <v>0</v>
      </c>
      <c r="G48" s="84"/>
      <c r="H48" s="20"/>
      <c r="I48" s="39"/>
      <c r="J48" s="417"/>
      <c r="M48" s="21"/>
      <c r="N48" s="20"/>
      <c r="P48" s="139"/>
      <c r="Q48" s="20"/>
      <c r="R48" s="20"/>
      <c r="S48" s="20"/>
      <c r="T48" s="20"/>
    </row>
    <row r="49" spans="2:20" ht="12.75">
      <c r="B49" s="16"/>
      <c r="C49" s="468"/>
      <c r="D49" s="403" t="str">
        <f>IF(F6=3,"","Importo netto")</f>
        <v>Importo netto</v>
      </c>
      <c r="E49" s="114"/>
      <c r="F49" s="128">
        <f>IF(F6=3,0,IF(F42="",0,(F43-F48)))</f>
        <v>0</v>
      </c>
      <c r="G49" s="84"/>
      <c r="H49" s="20"/>
      <c r="I49" s="39"/>
      <c r="J49" s="409" t="s">
        <v>86</v>
      </c>
      <c r="K49" s="30">
        <f>K46*K18/100</f>
        <v>0</v>
      </c>
      <c r="L49" s="31">
        <f>L46*K18/100</f>
        <v>0</v>
      </c>
      <c r="M49" s="21"/>
      <c r="N49" s="20"/>
      <c r="Q49" s="20"/>
      <c r="R49" s="20"/>
      <c r="S49" s="20"/>
      <c r="T49" s="20"/>
    </row>
    <row r="50" spans="2:20" ht="12.75">
      <c r="B50" s="16"/>
      <c r="C50" s="468"/>
      <c r="D50" s="403" t="str">
        <f>IF(OR(F6=3,F6=1),"","Data ultima cedola")</f>
        <v>Data ultima cedola</v>
      </c>
      <c r="E50" s="114"/>
      <c r="F50" s="41">
        <f>IF(OR(F6=3,F6=1),0,IF(OR($F$11=0,F42=0),0,COUPPCD(F42,$F$9,$F$11,1)))</f>
        <v>0</v>
      </c>
      <c r="G50" s="50"/>
      <c r="H50" s="20"/>
      <c r="I50" s="39"/>
      <c r="J50" s="444" t="s">
        <v>33</v>
      </c>
      <c r="K50" s="10"/>
      <c r="L50" s="146"/>
      <c r="M50" s="21"/>
      <c r="N50" s="20"/>
      <c r="P50" s="20"/>
      <c r="Q50" s="20"/>
      <c r="R50" s="20"/>
      <c r="S50" s="20"/>
      <c r="T50" s="20"/>
    </row>
    <row r="51" spans="2:20" ht="12.75">
      <c r="B51" s="16"/>
      <c r="C51" s="468"/>
      <c r="D51" s="407" t="str">
        <f>IF(OR(F6=3,F6=1),"","Data prossima cedola")</f>
        <v>Data prossima cedola</v>
      </c>
      <c r="E51" s="115"/>
      <c r="F51" s="41">
        <f>IF(OR(F6=1,F6=3),0,IF(OR($F$11=0,F42=0),0,COUPNCD(F42,$F$9,$F$11,1)))</f>
        <v>0</v>
      </c>
      <c r="H51" s="20"/>
      <c r="I51" s="39"/>
      <c r="J51" s="409" t="s">
        <v>2</v>
      </c>
      <c r="K51" s="30">
        <f>IF(K50&gt;K49,0,K49-K50)</f>
        <v>0</v>
      </c>
      <c r="L51" s="31">
        <f>IF(L50&gt;L49,0,L49-L50)</f>
        <v>0</v>
      </c>
      <c r="M51" s="21"/>
      <c r="N51" s="20"/>
      <c r="P51" s="133"/>
      <c r="Q51" s="20"/>
      <c r="R51" s="20"/>
      <c r="S51" s="20"/>
      <c r="T51" s="20"/>
    </row>
    <row r="52" spans="2:20" ht="12.75">
      <c r="B52" s="16"/>
      <c r="C52" s="468"/>
      <c r="D52" s="403" t="str">
        <f>IF(OR(F6=3,F6=1),"","Rateo Lordo")</f>
        <v>Rateo Lordo</v>
      </c>
      <c r="E52" s="114"/>
      <c r="F52" s="125">
        <f>IF(OR(F6=1,F6=3),0,IF(OR(F42=0,F11=0),0,IF(F19=2,FLOOR($F$12/$F$11*(F42-F50)/(F51-F50)*100,0.000001),YEARFRAC(F50,F42,F19-1)*F12*100)))</f>
        <v>0</v>
      </c>
      <c r="G52" s="50"/>
      <c r="H52" s="20"/>
      <c r="I52" s="39"/>
      <c r="J52" s="409" t="s">
        <v>22</v>
      </c>
      <c r="K52" s="30">
        <f>K51*C12</f>
        <v>0</v>
      </c>
      <c r="L52" s="31">
        <f>L51*C12</f>
        <v>0</v>
      </c>
      <c r="M52" s="21"/>
      <c r="N52" s="20"/>
      <c r="P52" s="133"/>
      <c r="Q52" s="20"/>
      <c r="R52" s="20"/>
      <c r="S52" s="20"/>
      <c r="T52" s="20"/>
    </row>
    <row r="53" spans="2:20" ht="12.75">
      <c r="B53" s="16"/>
      <c r="C53" s="469"/>
      <c r="D53" s="403" t="str">
        <f>IF(OR(F6=3,F6=1),"","Rateo Netto")</f>
        <v>Rateo Netto</v>
      </c>
      <c r="E53" s="114"/>
      <c r="F53" s="125">
        <f>IF(OR(F6=1,F6=3),0,F52*(1-C12))</f>
        <v>0</v>
      </c>
      <c r="G53" s="51"/>
      <c r="H53" s="20"/>
      <c r="I53" s="39"/>
      <c r="J53" s="419" t="s">
        <v>35</v>
      </c>
      <c r="K53" s="160">
        <f>IF(K50-K49&lt;0,0,K50-K49)</f>
        <v>0</v>
      </c>
      <c r="L53" s="350">
        <f>IF(L50-L49&lt;0,0,L50-L49)</f>
        <v>0</v>
      </c>
      <c r="M53" s="21"/>
      <c r="N53" s="20"/>
      <c r="P53" s="133"/>
      <c r="Q53" s="20"/>
      <c r="R53" s="20"/>
      <c r="S53" s="20"/>
      <c r="T53" s="20"/>
    </row>
    <row r="54" spans="2:20" ht="12.75">
      <c r="B54" s="16"/>
      <c r="C54" s="118"/>
      <c r="D54" s="408" t="str">
        <f>IF(F6=3,"","Prezzo di rimborso")</f>
        <v>Prezzo di rimborso</v>
      </c>
      <c r="E54" s="114"/>
      <c r="F54" s="163">
        <f>IF(F6=3,0,IF(F42="",0,IF(E44=1,F53+F49-F44,F53+F49-F44*F43/100)))</f>
        <v>0</v>
      </c>
      <c r="G54" s="33">
        <f>IF(OR(F41="",F41=0,F22=0,F22=""),0,F54/F41)</f>
        <v>0</v>
      </c>
      <c r="H54" s="20"/>
      <c r="I54" s="39"/>
      <c r="J54" s="417"/>
      <c r="M54" s="21"/>
      <c r="N54" s="20"/>
      <c r="P54" s="132"/>
      <c r="Q54" s="20"/>
      <c r="R54" s="20"/>
      <c r="S54" s="20"/>
      <c r="T54" s="20"/>
    </row>
    <row r="55" spans="2:20" ht="38.25">
      <c r="B55" s="16"/>
      <c r="C55" s="118"/>
      <c r="D55" s="108"/>
      <c r="E55" s="108"/>
      <c r="F55" s="51"/>
      <c r="G55" s="38"/>
      <c r="H55" s="20"/>
      <c r="I55" s="39"/>
      <c r="J55" s="419" t="s">
        <v>31</v>
      </c>
      <c r="K55" s="79">
        <f>K40-K52</f>
        <v>0</v>
      </c>
      <c r="L55" s="80">
        <f>L40-L52</f>
        <v>0</v>
      </c>
      <c r="M55" s="21"/>
      <c r="N55" s="20"/>
      <c r="P55" s="20"/>
      <c r="Q55" s="20"/>
      <c r="R55" s="20"/>
      <c r="S55" s="20"/>
      <c r="T55" s="20"/>
    </row>
    <row r="56" spans="2:20" ht="12.75">
      <c r="B56" s="16"/>
      <c r="C56" s="20"/>
      <c r="D56" s="421" t="str">
        <f>IF(F6=2,"Duration","")</f>
        <v>Duration</v>
      </c>
      <c r="E56" s="422"/>
      <c r="F56" s="44">
        <f>IF(OR(F23=0,F9=0,F12=0,F60=0,F11=0,F6=3,F6=1),"",IF(AND(F42&lt;&gt;"",(F42-F23)&lt;365),"",IF(AND(F42="",(F9-F23)&lt;365),"",MDURATION(F23,F9,F12,F60,F11))))</f>
      </c>
      <c r="G56" s="20"/>
      <c r="H56" s="20"/>
      <c r="I56" s="39"/>
      <c r="J56" s="417"/>
      <c r="M56" s="21"/>
      <c r="N56" s="20"/>
      <c r="P56" s="20"/>
      <c r="Q56" s="20"/>
      <c r="R56" s="20"/>
      <c r="S56" s="20"/>
      <c r="T56" s="20"/>
    </row>
    <row r="57" spans="2:20" ht="12.75">
      <c r="B57" s="16"/>
      <c r="C57" s="470" t="s">
        <v>134</v>
      </c>
      <c r="D57" s="475" t="s">
        <v>49</v>
      </c>
      <c r="E57" s="476"/>
      <c r="F57" s="52">
        <f>IF(OR(F23=0,F24=0),0,SUM(F64:F144))</f>
        <v>0</v>
      </c>
      <c r="G57" s="33">
        <f>IF(OR(F22=0,F22=""),0,SUM(G64:G144))</f>
        <v>0</v>
      </c>
      <c r="H57" s="22"/>
      <c r="I57" s="91"/>
      <c r="J57" s="417"/>
      <c r="M57" s="71"/>
      <c r="N57" s="22"/>
      <c r="P57" s="20"/>
      <c r="Q57" s="20"/>
      <c r="R57" s="20"/>
      <c r="S57" s="20"/>
      <c r="T57" s="20"/>
    </row>
    <row r="58" spans="2:20" ht="12.75">
      <c r="B58" s="16"/>
      <c r="C58" s="471"/>
      <c r="D58" s="475" t="str">
        <f>IF(F6=3,"Durata in giorni","Durata in anni")</f>
        <v>Durata in anni</v>
      </c>
      <c r="E58" s="476"/>
      <c r="F58" s="342">
        <f>IF(OR(F9=0,F23=0),0,IF(F6=3,F9-F23,IF(F42=0,YEARFRAC(F23,F9,1),YEARFRAC(F23,F42,1))))</f>
        <v>0</v>
      </c>
      <c r="G58" s="33">
        <f>IF(F22=0,0,IF(F42="",YEARFRAC(F23,F9,1),YEARFRAC(F23,F42,1)))</f>
        <v>0</v>
      </c>
      <c r="H58" s="22"/>
      <c r="I58" s="91"/>
      <c r="J58" s="409" t="s">
        <v>49</v>
      </c>
      <c r="K58" s="79">
        <f>SUM(K64:K144)</f>
        <v>-10</v>
      </c>
      <c r="L58" s="80">
        <f>SUM(L64:L144)</f>
        <v>0</v>
      </c>
      <c r="M58" s="71"/>
      <c r="N58" s="22"/>
      <c r="P58" s="20"/>
      <c r="Q58" s="20"/>
      <c r="R58" s="20"/>
      <c r="S58" s="20"/>
      <c r="T58" s="20"/>
    </row>
    <row r="59" spans="2:20" ht="12.75">
      <c r="B59" s="16"/>
      <c r="C59" s="471"/>
      <c r="D59" s="475" t="s">
        <v>51</v>
      </c>
      <c r="E59" s="476"/>
      <c r="F59" s="29">
        <f>IF(OR(F23=0,F9=0,F24=0,F10=0),0,-F57/F64/F58)</f>
        <v>0</v>
      </c>
      <c r="G59" s="54">
        <f>IF(OR(F23=0,F9=0,F24=0,F10=0),0,IF(OR(F22=0,F22=""),0,-G57/G64/G58))</f>
        <v>0</v>
      </c>
      <c r="H59" s="45"/>
      <c r="I59" s="92"/>
      <c r="J59" s="409" t="s">
        <v>51</v>
      </c>
      <c r="K59" s="36">
        <f>IF(OR(F23=0,F9=0,F24=0,F10=0,F58=0,K27=0),0,K58/K27/F58)</f>
        <v>0</v>
      </c>
      <c r="L59" s="37">
        <f>IF(OR(F22=0,F23=0,F9=0,F24=0,F10=0,L27=0,F58=0),0,L58/L27/G58)</f>
        <v>0</v>
      </c>
      <c r="M59" s="93"/>
      <c r="N59" s="45"/>
      <c r="P59" s="20"/>
      <c r="Q59" s="20"/>
      <c r="R59" s="20"/>
      <c r="S59" s="20"/>
      <c r="T59" s="20"/>
    </row>
    <row r="60" spans="2:20" s="56" customFormat="1" ht="25.5">
      <c r="B60" s="55"/>
      <c r="C60" s="472"/>
      <c r="D60" s="473" t="s">
        <v>9</v>
      </c>
      <c r="E60" s="474"/>
      <c r="F60" s="36">
        <f>IF(OR($F$23=0,$F$9=0,$F$24=0,$F$10=0),0,IF(AND($F$42=0,$F$58&gt;1),XIRR($F$64:$F$144,$C$64:$C$144),IF(AND($F$42=0,$F$58&lt;1),F57/F35/$F$58,IF(AND($F$42&lt;&gt;0,$F$58&gt;1),XIRR($F$64:$F$144,$C$64:$C$144),F57/F35/$F$58))))</f>
        <v>0</v>
      </c>
      <c r="G60" s="37">
        <f>IF(OR($F$22=0,$F$23=0,$F$9=0,$F$24=0,$F$10=0),0,IF(AND($F$42=0,$F$58&gt;1),XIRR($G$64:$G$144,$C$64:$C$144),IF(AND($F$42=0,$F$58&lt;1),G57/G35/$F$58,IF(AND($F$42&lt;&gt;0,$F$58&gt;1),XIRR($G$64:$G$144,$C$64:$C$144),G57/G35/$F$58))))</f>
        <v>0</v>
      </c>
      <c r="H60" s="94"/>
      <c r="I60" s="95"/>
      <c r="J60" s="420" t="s">
        <v>10</v>
      </c>
      <c r="K60" s="36">
        <f>IF(OR($F$23=0,$F$9=0,$F$24=0,$F$10=0,$K$27=0),0,IF(AND($F$42=0,$F$58&gt;1),XIRR(K64:K144,$J$64:$J$144),IF(AND($F$42=0,$F$58&lt;1),(K58/K27/$F$58),IF(AND($F$42&lt;&gt;0,$F$58&gt;1),XIRR(K64:K144,$J$64:$J$144),K58/K27/$F$58))))</f>
        <v>0</v>
      </c>
      <c r="L60" s="37">
        <f>IF(OR($F$22=0,$F$23=0,$F$9=0,$F$24=0,$F$10=0,$L$27=0),0,IF(AND($F$42=0,$F$58&gt;1),XIRR(L64:L144,$J$64:$J$144),IF(AND($F$42=0,$F$58&lt;1),(L58/L27/$F$58),IF(AND($F$42&lt;&gt;0,$F$58&gt;1),XIRR(L64:L144,$J$64:$J$144),L58/L27/$F$58))))</f>
        <v>0</v>
      </c>
      <c r="M60" s="96"/>
      <c r="N60" s="94"/>
      <c r="O60" s="165"/>
      <c r="P60" s="111"/>
      <c r="Q60" s="111"/>
      <c r="R60" s="111"/>
      <c r="S60" s="111"/>
      <c r="T60" s="111"/>
    </row>
    <row r="61" spans="2:20" s="56" customFormat="1" ht="10.5" thickBot="1">
      <c r="B61" s="58"/>
      <c r="C61" s="59"/>
      <c r="D61" s="60"/>
      <c r="E61" s="60"/>
      <c r="F61" s="61"/>
      <c r="G61" s="61"/>
      <c r="H61" s="61"/>
      <c r="I61" s="97"/>
      <c r="J61" s="59"/>
      <c r="K61" s="59"/>
      <c r="L61" s="59"/>
      <c r="M61" s="98"/>
      <c r="N61" s="94"/>
      <c r="O61" s="166"/>
      <c r="P61" s="111"/>
      <c r="Q61" s="111"/>
      <c r="R61" s="111"/>
      <c r="S61" s="111"/>
      <c r="T61" s="111"/>
    </row>
    <row r="62" spans="2:20" ht="10.5" thickTop="1">
      <c r="B62" s="16"/>
      <c r="C62" s="20"/>
      <c r="D62" s="45"/>
      <c r="E62" s="22"/>
      <c r="F62" s="20"/>
      <c r="G62" s="20"/>
      <c r="H62" s="20"/>
      <c r="I62" s="39"/>
      <c r="M62" s="21"/>
      <c r="N62" s="20"/>
      <c r="P62" s="111"/>
      <c r="Q62" s="20"/>
      <c r="R62" s="20"/>
      <c r="S62" s="20"/>
      <c r="T62" s="20"/>
    </row>
    <row r="63" spans="2:20" ht="19.5">
      <c r="B63" s="16"/>
      <c r="C63" s="64" t="s">
        <v>52</v>
      </c>
      <c r="D63" s="63" t="s">
        <v>18</v>
      </c>
      <c r="E63" s="64" t="s">
        <v>50</v>
      </c>
      <c r="F63" s="64" t="s">
        <v>53</v>
      </c>
      <c r="G63" s="67" t="s">
        <v>136</v>
      </c>
      <c r="H63" s="28"/>
      <c r="I63" s="78"/>
      <c r="J63" s="64" t="s">
        <v>52</v>
      </c>
      <c r="K63" s="25" t="s">
        <v>141</v>
      </c>
      <c r="L63" s="135" t="s">
        <v>13</v>
      </c>
      <c r="M63" s="68"/>
      <c r="N63" s="28"/>
      <c r="Q63" s="20"/>
      <c r="R63" s="20"/>
      <c r="S63" s="20"/>
      <c r="T63" s="20"/>
    </row>
    <row r="64" spans="2:14" ht="9.75">
      <c r="B64" s="16"/>
      <c r="C64" s="69">
        <f>F23</f>
        <v>0</v>
      </c>
      <c r="D64" s="11"/>
      <c r="E64" s="65"/>
      <c r="F64" s="66">
        <f>-F35</f>
        <v>0</v>
      </c>
      <c r="G64" s="144">
        <f>-G35</f>
        <v>0</v>
      </c>
      <c r="H64" s="99"/>
      <c r="I64" s="100"/>
      <c r="J64" s="101">
        <f aca="true" t="shared" si="0" ref="J64:J95">C64</f>
        <v>0</v>
      </c>
      <c r="K64" s="102">
        <f>-K27</f>
        <v>-10</v>
      </c>
      <c r="L64" s="31">
        <f>-L27</f>
        <v>0</v>
      </c>
      <c r="M64" s="70"/>
      <c r="N64" s="99"/>
    </row>
    <row r="65" spans="2:14" ht="9.75">
      <c r="B65" s="16"/>
      <c r="C65" s="69">
        <f>IF(AND($F$42&lt;&gt;"",IF($F$11=0,$F$9,$F$32)&gt;$F$42),$F$42,IF($F$11=0,$F9,$F32))</f>
        <v>0</v>
      </c>
      <c r="D65" s="2"/>
      <c r="E65" s="29">
        <f aca="true" t="shared" si="1" ref="E65:E96">IF(OR($F$11=0,C65=$F$42),0,IF(OR(C65=0,C65=$F$42),IF(AND(C65=$F$50,C65&lt;&gt;0),$F$12*(1-$C$12)/$F$11,0),$F$12*(1-$C$12)/$F$11))</f>
        <v>0</v>
      </c>
      <c r="F65" s="52">
        <f aca="true" t="shared" si="2" ref="F65:F96">IF(AND(C65=0,E65=0),0,IF(AND(C65=$F$9,$F$42=""),E65*100+$F$30,IF(AND(C65&lt;$F$9,$F$42=""),E65*100,IF(C65=$F$42,$F$54+E65*100,E65*100))))</f>
        <v>0</v>
      </c>
      <c r="G65" s="145">
        <f>IF(OR(D65=0,$F$22=0,$F$22=""),0,F65/D65)</f>
        <v>0</v>
      </c>
      <c r="H65" s="22"/>
      <c r="I65" s="91"/>
      <c r="J65" s="101">
        <f t="shared" si="0"/>
        <v>0</v>
      </c>
      <c r="K65" s="102">
        <f aca="true" t="shared" si="3" ref="K65:K96">IF(J65=0,0,IF(OR(J65=$F$42,J65=$F$9),$K$55,F65*$K$18/100-$K$43))</f>
        <v>0</v>
      </c>
      <c r="L65" s="31">
        <f>IF(OR(D65=0,J65=0),0,IF(OR(J65=$F$42,J65=$F$9),$L$55,G65*$K$18/100-$L$43))</f>
        <v>0</v>
      </c>
      <c r="M65" s="71"/>
      <c r="N65" s="22"/>
    </row>
    <row r="66" spans="2:14" ht="9.75">
      <c r="B66" s="16"/>
      <c r="C66" s="69">
        <f>IF(OR(C65=$F$9,C65=$F$42),0,IF(C65=$F$42,0,IF(AND(COUPNCD(C65,$F$9,$F$11,1)&gt;$F$42,$F$42&lt;&gt;""),$F$42,(IF(C65=0,0,IF(C65=$F$9,0,COUPNCD(C65,$F$9,$F$11,1)))))))</f>
        <v>0</v>
      </c>
      <c r="D66" s="2"/>
      <c r="E66" s="29">
        <f t="shared" si="1"/>
        <v>0</v>
      </c>
      <c r="F66" s="52">
        <f t="shared" si="2"/>
        <v>0</v>
      </c>
      <c r="G66" s="145">
        <f aca="true" t="shared" si="4" ref="G66:G97">IF(OR(D66=0,D66="",$F$22=0,$F$22=""),0,F66/D66)</f>
        <v>0</v>
      </c>
      <c r="H66" s="22"/>
      <c r="I66" s="91"/>
      <c r="J66" s="101">
        <f t="shared" si="0"/>
        <v>0</v>
      </c>
      <c r="K66" s="102">
        <f t="shared" si="3"/>
        <v>0</v>
      </c>
      <c r="L66" s="31">
        <f aca="true" t="shared" si="5" ref="L66:L129">IF(OR(D66=0,J66=0),0,IF(OR(J66=$F$42,J66=$F$9),$L$55,G66*$K$18/100-$L$43))</f>
        <v>0</v>
      </c>
      <c r="M66" s="71"/>
      <c r="N66" s="22"/>
    </row>
    <row r="67" spans="2:14" ht="9.75">
      <c r="B67" s="16"/>
      <c r="C67" s="69">
        <f aca="true" t="shared" si="6" ref="C67:C98">IF(OR(C66=$F$9,C66=$F$42,C66=0),0,IF(C66=$F$42,0,IF(AND(COUPNCD(C66,$F$9,$F$11,1)&gt;$F$42,$F$42&lt;&gt;""),$F$42,(IF(C66=0,0,IF(C66=$F$9,0,COUPNCD(C66,$F$9,$F$11,1)))))))</f>
        <v>0</v>
      </c>
      <c r="D67" s="2"/>
      <c r="E67" s="29">
        <f t="shared" si="1"/>
        <v>0</v>
      </c>
      <c r="F67" s="52">
        <f t="shared" si="2"/>
        <v>0</v>
      </c>
      <c r="G67" s="145">
        <f t="shared" si="4"/>
        <v>0</v>
      </c>
      <c r="H67" s="22"/>
      <c r="I67" s="91"/>
      <c r="J67" s="101">
        <f t="shared" si="0"/>
        <v>0</v>
      </c>
      <c r="K67" s="102">
        <f t="shared" si="3"/>
        <v>0</v>
      </c>
      <c r="L67" s="31">
        <f t="shared" si="5"/>
        <v>0</v>
      </c>
      <c r="M67" s="71"/>
      <c r="N67" s="22"/>
    </row>
    <row r="68" spans="2:14" ht="9.75">
      <c r="B68" s="16"/>
      <c r="C68" s="69">
        <f t="shared" si="6"/>
        <v>0</v>
      </c>
      <c r="D68" s="2"/>
      <c r="E68" s="29">
        <f t="shared" si="1"/>
        <v>0</v>
      </c>
      <c r="F68" s="52">
        <f t="shared" si="2"/>
        <v>0</v>
      </c>
      <c r="G68" s="145">
        <f t="shared" si="4"/>
        <v>0</v>
      </c>
      <c r="H68" s="22"/>
      <c r="I68" s="91"/>
      <c r="J68" s="101">
        <f t="shared" si="0"/>
        <v>0</v>
      </c>
      <c r="K68" s="102">
        <f t="shared" si="3"/>
        <v>0</v>
      </c>
      <c r="L68" s="31">
        <f t="shared" si="5"/>
        <v>0</v>
      </c>
      <c r="M68" s="71"/>
      <c r="N68" s="22"/>
    </row>
    <row r="69" spans="2:14" ht="9.75">
      <c r="B69" s="16"/>
      <c r="C69" s="69">
        <f t="shared" si="6"/>
        <v>0</v>
      </c>
      <c r="D69" s="2"/>
      <c r="E69" s="29">
        <f t="shared" si="1"/>
        <v>0</v>
      </c>
      <c r="F69" s="52">
        <f t="shared" si="2"/>
        <v>0</v>
      </c>
      <c r="G69" s="145">
        <f t="shared" si="4"/>
        <v>0</v>
      </c>
      <c r="H69" s="22"/>
      <c r="I69" s="91"/>
      <c r="J69" s="101">
        <f t="shared" si="0"/>
        <v>0</v>
      </c>
      <c r="K69" s="102">
        <f t="shared" si="3"/>
        <v>0</v>
      </c>
      <c r="L69" s="31">
        <f t="shared" si="5"/>
        <v>0</v>
      </c>
      <c r="M69" s="71"/>
      <c r="N69" s="22"/>
    </row>
    <row r="70" spans="2:14" ht="9.75">
      <c r="B70" s="16"/>
      <c r="C70" s="69">
        <f t="shared" si="6"/>
        <v>0</v>
      </c>
      <c r="D70" s="2"/>
      <c r="E70" s="29">
        <f t="shared" si="1"/>
        <v>0</v>
      </c>
      <c r="F70" s="52">
        <f t="shared" si="2"/>
        <v>0</v>
      </c>
      <c r="G70" s="145">
        <f t="shared" si="4"/>
        <v>0</v>
      </c>
      <c r="H70" s="22"/>
      <c r="I70" s="91"/>
      <c r="J70" s="101">
        <f t="shared" si="0"/>
        <v>0</v>
      </c>
      <c r="K70" s="102">
        <f t="shared" si="3"/>
        <v>0</v>
      </c>
      <c r="L70" s="31">
        <f t="shared" si="5"/>
        <v>0</v>
      </c>
      <c r="M70" s="71"/>
      <c r="N70" s="22"/>
    </row>
    <row r="71" spans="2:14" ht="9.75">
      <c r="B71" s="16"/>
      <c r="C71" s="69">
        <f t="shared" si="6"/>
        <v>0</v>
      </c>
      <c r="D71" s="2"/>
      <c r="E71" s="29">
        <f t="shared" si="1"/>
        <v>0</v>
      </c>
      <c r="F71" s="52">
        <f t="shared" si="2"/>
        <v>0</v>
      </c>
      <c r="G71" s="145">
        <f t="shared" si="4"/>
        <v>0</v>
      </c>
      <c r="H71" s="22"/>
      <c r="I71" s="91"/>
      <c r="J71" s="101">
        <f t="shared" si="0"/>
        <v>0</v>
      </c>
      <c r="K71" s="102">
        <f t="shared" si="3"/>
        <v>0</v>
      </c>
      <c r="L71" s="31">
        <f t="shared" si="5"/>
        <v>0</v>
      </c>
      <c r="M71" s="71"/>
      <c r="N71" s="22"/>
    </row>
    <row r="72" spans="2:14" ht="9.75">
      <c r="B72" s="16"/>
      <c r="C72" s="69">
        <f t="shared" si="6"/>
        <v>0</v>
      </c>
      <c r="D72" s="2"/>
      <c r="E72" s="29">
        <f t="shared" si="1"/>
        <v>0</v>
      </c>
      <c r="F72" s="52">
        <f t="shared" si="2"/>
        <v>0</v>
      </c>
      <c r="G72" s="145">
        <f t="shared" si="4"/>
        <v>0</v>
      </c>
      <c r="H72" s="22"/>
      <c r="I72" s="91"/>
      <c r="J72" s="101">
        <f t="shared" si="0"/>
        <v>0</v>
      </c>
      <c r="K72" s="102">
        <f t="shared" si="3"/>
        <v>0</v>
      </c>
      <c r="L72" s="31">
        <f t="shared" si="5"/>
        <v>0</v>
      </c>
      <c r="M72" s="71"/>
      <c r="N72" s="22"/>
    </row>
    <row r="73" spans="2:17" ht="9.75">
      <c r="B73" s="16"/>
      <c r="C73" s="69">
        <f t="shared" si="6"/>
        <v>0</v>
      </c>
      <c r="D73" s="2"/>
      <c r="E73" s="29">
        <f t="shared" si="1"/>
        <v>0</v>
      </c>
      <c r="F73" s="52">
        <f t="shared" si="2"/>
        <v>0</v>
      </c>
      <c r="G73" s="145">
        <f t="shared" si="4"/>
        <v>0</v>
      </c>
      <c r="H73" s="22"/>
      <c r="I73" s="91"/>
      <c r="J73" s="101">
        <f t="shared" si="0"/>
        <v>0</v>
      </c>
      <c r="K73" s="102">
        <f t="shared" si="3"/>
        <v>0</v>
      </c>
      <c r="L73" s="31">
        <f t="shared" si="5"/>
        <v>0</v>
      </c>
      <c r="M73" s="71"/>
      <c r="N73" s="22"/>
      <c r="Q73" s="122"/>
    </row>
    <row r="74" spans="2:14" ht="9.75">
      <c r="B74" s="16"/>
      <c r="C74" s="69">
        <f t="shared" si="6"/>
        <v>0</v>
      </c>
      <c r="D74" s="2"/>
      <c r="E74" s="29">
        <f t="shared" si="1"/>
        <v>0</v>
      </c>
      <c r="F74" s="52">
        <f t="shared" si="2"/>
        <v>0</v>
      </c>
      <c r="G74" s="145">
        <f t="shared" si="4"/>
        <v>0</v>
      </c>
      <c r="H74" s="22"/>
      <c r="I74" s="91"/>
      <c r="J74" s="101">
        <f t="shared" si="0"/>
        <v>0</v>
      </c>
      <c r="K74" s="102">
        <f t="shared" si="3"/>
        <v>0</v>
      </c>
      <c r="L74" s="31">
        <f t="shared" si="5"/>
        <v>0</v>
      </c>
      <c r="M74" s="71"/>
      <c r="N74" s="22"/>
    </row>
    <row r="75" spans="2:14" ht="9.75">
      <c r="B75" s="16"/>
      <c r="C75" s="69">
        <f t="shared" si="6"/>
        <v>0</v>
      </c>
      <c r="D75" s="2"/>
      <c r="E75" s="29">
        <f t="shared" si="1"/>
        <v>0</v>
      </c>
      <c r="F75" s="52">
        <f t="shared" si="2"/>
        <v>0</v>
      </c>
      <c r="G75" s="145">
        <f t="shared" si="4"/>
        <v>0</v>
      </c>
      <c r="H75" s="22"/>
      <c r="I75" s="91"/>
      <c r="J75" s="101">
        <f t="shared" si="0"/>
        <v>0</v>
      </c>
      <c r="K75" s="102">
        <f t="shared" si="3"/>
        <v>0</v>
      </c>
      <c r="L75" s="31">
        <f t="shared" si="5"/>
        <v>0</v>
      </c>
      <c r="M75" s="71"/>
      <c r="N75" s="22"/>
    </row>
    <row r="76" spans="2:14" ht="9.75">
      <c r="B76" s="16"/>
      <c r="C76" s="69">
        <f t="shared" si="6"/>
        <v>0</v>
      </c>
      <c r="D76" s="2"/>
      <c r="E76" s="29">
        <f t="shared" si="1"/>
        <v>0</v>
      </c>
      <c r="F76" s="52">
        <f t="shared" si="2"/>
        <v>0</v>
      </c>
      <c r="G76" s="145">
        <f t="shared" si="4"/>
        <v>0</v>
      </c>
      <c r="H76" s="22"/>
      <c r="I76" s="91"/>
      <c r="J76" s="101">
        <f t="shared" si="0"/>
        <v>0</v>
      </c>
      <c r="K76" s="102">
        <f t="shared" si="3"/>
        <v>0</v>
      </c>
      <c r="L76" s="31">
        <f t="shared" si="5"/>
        <v>0</v>
      </c>
      <c r="M76" s="71"/>
      <c r="N76" s="22"/>
    </row>
    <row r="77" spans="2:14" ht="9.75">
      <c r="B77" s="16"/>
      <c r="C77" s="69">
        <f t="shared" si="6"/>
        <v>0</v>
      </c>
      <c r="D77" s="2"/>
      <c r="E77" s="29">
        <f t="shared" si="1"/>
        <v>0</v>
      </c>
      <c r="F77" s="52">
        <f t="shared" si="2"/>
        <v>0</v>
      </c>
      <c r="G77" s="145">
        <f t="shared" si="4"/>
        <v>0</v>
      </c>
      <c r="H77" s="22"/>
      <c r="I77" s="91"/>
      <c r="J77" s="101">
        <f t="shared" si="0"/>
        <v>0</v>
      </c>
      <c r="K77" s="102">
        <f t="shared" si="3"/>
        <v>0</v>
      </c>
      <c r="L77" s="31">
        <f t="shared" si="5"/>
        <v>0</v>
      </c>
      <c r="M77" s="71"/>
      <c r="N77" s="22"/>
    </row>
    <row r="78" spans="2:14" ht="9.75">
      <c r="B78" s="16"/>
      <c r="C78" s="69">
        <f t="shared" si="6"/>
        <v>0</v>
      </c>
      <c r="D78" s="2"/>
      <c r="E78" s="29">
        <f t="shared" si="1"/>
        <v>0</v>
      </c>
      <c r="F78" s="52">
        <f t="shared" si="2"/>
        <v>0</v>
      </c>
      <c r="G78" s="145">
        <f t="shared" si="4"/>
        <v>0</v>
      </c>
      <c r="H78" s="22"/>
      <c r="I78" s="91"/>
      <c r="J78" s="101">
        <f t="shared" si="0"/>
        <v>0</v>
      </c>
      <c r="K78" s="102">
        <f t="shared" si="3"/>
        <v>0</v>
      </c>
      <c r="L78" s="31">
        <f t="shared" si="5"/>
        <v>0</v>
      </c>
      <c r="M78" s="71"/>
      <c r="N78" s="22"/>
    </row>
    <row r="79" spans="2:14" ht="9.75">
      <c r="B79" s="16"/>
      <c r="C79" s="69">
        <f t="shared" si="6"/>
        <v>0</v>
      </c>
      <c r="D79" s="2"/>
      <c r="E79" s="29">
        <f t="shared" si="1"/>
        <v>0</v>
      </c>
      <c r="F79" s="52">
        <f t="shared" si="2"/>
        <v>0</v>
      </c>
      <c r="G79" s="145">
        <f t="shared" si="4"/>
        <v>0</v>
      </c>
      <c r="H79" s="22"/>
      <c r="I79" s="91"/>
      <c r="J79" s="101">
        <f t="shared" si="0"/>
        <v>0</v>
      </c>
      <c r="K79" s="102">
        <f t="shared" si="3"/>
        <v>0</v>
      </c>
      <c r="L79" s="31">
        <f t="shared" si="5"/>
        <v>0</v>
      </c>
      <c r="M79" s="71"/>
      <c r="N79" s="22"/>
    </row>
    <row r="80" spans="2:14" ht="9.75">
      <c r="B80" s="16"/>
      <c r="C80" s="69">
        <f t="shared" si="6"/>
        <v>0</v>
      </c>
      <c r="D80" s="2"/>
      <c r="E80" s="29">
        <f t="shared" si="1"/>
        <v>0</v>
      </c>
      <c r="F80" s="52">
        <f t="shared" si="2"/>
        <v>0</v>
      </c>
      <c r="G80" s="145">
        <f t="shared" si="4"/>
        <v>0</v>
      </c>
      <c r="H80" s="22"/>
      <c r="I80" s="91"/>
      <c r="J80" s="101">
        <f t="shared" si="0"/>
        <v>0</v>
      </c>
      <c r="K80" s="102">
        <f t="shared" si="3"/>
        <v>0</v>
      </c>
      <c r="L80" s="31">
        <f t="shared" si="5"/>
        <v>0</v>
      </c>
      <c r="M80" s="71"/>
      <c r="N80" s="22"/>
    </row>
    <row r="81" spans="2:14" ht="9.75">
      <c r="B81" s="16"/>
      <c r="C81" s="69">
        <f t="shared" si="6"/>
        <v>0</v>
      </c>
      <c r="D81" s="2"/>
      <c r="E81" s="29">
        <f t="shared" si="1"/>
        <v>0</v>
      </c>
      <c r="F81" s="52">
        <f t="shared" si="2"/>
        <v>0</v>
      </c>
      <c r="G81" s="145">
        <f t="shared" si="4"/>
        <v>0</v>
      </c>
      <c r="H81" s="22"/>
      <c r="I81" s="91"/>
      <c r="J81" s="101">
        <f t="shared" si="0"/>
        <v>0</v>
      </c>
      <c r="K81" s="102">
        <f t="shared" si="3"/>
        <v>0</v>
      </c>
      <c r="L81" s="31">
        <f t="shared" si="5"/>
        <v>0</v>
      </c>
      <c r="M81" s="71"/>
      <c r="N81" s="22"/>
    </row>
    <row r="82" spans="2:14" ht="9.75">
      <c r="B82" s="16"/>
      <c r="C82" s="69">
        <f t="shared" si="6"/>
        <v>0</v>
      </c>
      <c r="D82" s="2"/>
      <c r="E82" s="29">
        <f t="shared" si="1"/>
        <v>0</v>
      </c>
      <c r="F82" s="52">
        <f t="shared" si="2"/>
        <v>0</v>
      </c>
      <c r="G82" s="145">
        <f t="shared" si="4"/>
        <v>0</v>
      </c>
      <c r="H82" s="22"/>
      <c r="I82" s="91"/>
      <c r="J82" s="101">
        <f t="shared" si="0"/>
        <v>0</v>
      </c>
      <c r="K82" s="102">
        <f t="shared" si="3"/>
        <v>0</v>
      </c>
      <c r="L82" s="31">
        <f t="shared" si="5"/>
        <v>0</v>
      </c>
      <c r="M82" s="71"/>
      <c r="N82" s="22"/>
    </row>
    <row r="83" spans="2:14" ht="9.75">
      <c r="B83" s="16"/>
      <c r="C83" s="69">
        <f t="shared" si="6"/>
        <v>0</v>
      </c>
      <c r="D83" s="2"/>
      <c r="E83" s="29">
        <f t="shared" si="1"/>
        <v>0</v>
      </c>
      <c r="F83" s="52">
        <f t="shared" si="2"/>
        <v>0</v>
      </c>
      <c r="G83" s="145">
        <f t="shared" si="4"/>
        <v>0</v>
      </c>
      <c r="H83" s="22"/>
      <c r="I83" s="91"/>
      <c r="J83" s="101">
        <f t="shared" si="0"/>
        <v>0</v>
      </c>
      <c r="K83" s="102">
        <f t="shared" si="3"/>
        <v>0</v>
      </c>
      <c r="L83" s="31">
        <f t="shared" si="5"/>
        <v>0</v>
      </c>
      <c r="M83" s="71"/>
      <c r="N83" s="22"/>
    </row>
    <row r="84" spans="2:14" ht="9.75">
      <c r="B84" s="16"/>
      <c r="C84" s="69">
        <f t="shared" si="6"/>
        <v>0</v>
      </c>
      <c r="D84" s="2"/>
      <c r="E84" s="29">
        <f t="shared" si="1"/>
        <v>0</v>
      </c>
      <c r="F84" s="52">
        <f t="shared" si="2"/>
        <v>0</v>
      </c>
      <c r="G84" s="145">
        <f t="shared" si="4"/>
        <v>0</v>
      </c>
      <c r="H84" s="22"/>
      <c r="I84" s="91"/>
      <c r="J84" s="101">
        <f t="shared" si="0"/>
        <v>0</v>
      </c>
      <c r="K84" s="102">
        <f t="shared" si="3"/>
        <v>0</v>
      </c>
      <c r="L84" s="31">
        <f t="shared" si="5"/>
        <v>0</v>
      </c>
      <c r="M84" s="71"/>
      <c r="N84" s="22"/>
    </row>
    <row r="85" spans="2:14" ht="9.75">
      <c r="B85" s="16"/>
      <c r="C85" s="69">
        <f t="shared" si="6"/>
        <v>0</v>
      </c>
      <c r="D85" s="2"/>
      <c r="E85" s="29">
        <f t="shared" si="1"/>
        <v>0</v>
      </c>
      <c r="F85" s="52">
        <f t="shared" si="2"/>
        <v>0</v>
      </c>
      <c r="G85" s="145">
        <f t="shared" si="4"/>
        <v>0</v>
      </c>
      <c r="H85" s="22"/>
      <c r="I85" s="91"/>
      <c r="J85" s="101">
        <f t="shared" si="0"/>
        <v>0</v>
      </c>
      <c r="K85" s="102">
        <f t="shared" si="3"/>
        <v>0</v>
      </c>
      <c r="L85" s="31">
        <f t="shared" si="5"/>
        <v>0</v>
      </c>
      <c r="M85" s="71"/>
      <c r="N85" s="22"/>
    </row>
    <row r="86" spans="2:14" ht="9.75">
      <c r="B86" s="16"/>
      <c r="C86" s="69">
        <f t="shared" si="6"/>
        <v>0</v>
      </c>
      <c r="D86" s="2"/>
      <c r="E86" s="29">
        <f t="shared" si="1"/>
        <v>0</v>
      </c>
      <c r="F86" s="52">
        <f t="shared" si="2"/>
        <v>0</v>
      </c>
      <c r="G86" s="145">
        <f t="shared" si="4"/>
        <v>0</v>
      </c>
      <c r="H86" s="22"/>
      <c r="I86" s="91"/>
      <c r="J86" s="101">
        <f t="shared" si="0"/>
        <v>0</v>
      </c>
      <c r="K86" s="102">
        <f t="shared" si="3"/>
        <v>0</v>
      </c>
      <c r="L86" s="31">
        <f t="shared" si="5"/>
        <v>0</v>
      </c>
      <c r="M86" s="71"/>
      <c r="N86" s="22"/>
    </row>
    <row r="87" spans="2:14" ht="9.75">
      <c r="B87" s="16"/>
      <c r="C87" s="69">
        <f t="shared" si="6"/>
        <v>0</v>
      </c>
      <c r="D87" s="2"/>
      <c r="E87" s="29">
        <f t="shared" si="1"/>
        <v>0</v>
      </c>
      <c r="F87" s="52">
        <f t="shared" si="2"/>
        <v>0</v>
      </c>
      <c r="G87" s="145">
        <f t="shared" si="4"/>
        <v>0</v>
      </c>
      <c r="H87" s="22"/>
      <c r="I87" s="91"/>
      <c r="J87" s="101">
        <f t="shared" si="0"/>
        <v>0</v>
      </c>
      <c r="K87" s="102">
        <f t="shared" si="3"/>
        <v>0</v>
      </c>
      <c r="L87" s="31">
        <f t="shared" si="5"/>
        <v>0</v>
      </c>
      <c r="M87" s="71"/>
      <c r="N87" s="22"/>
    </row>
    <row r="88" spans="2:14" ht="9.75">
      <c r="B88" s="16"/>
      <c r="C88" s="69">
        <f t="shared" si="6"/>
        <v>0</v>
      </c>
      <c r="D88" s="2"/>
      <c r="E88" s="29">
        <f t="shared" si="1"/>
        <v>0</v>
      </c>
      <c r="F88" s="52">
        <f t="shared" si="2"/>
        <v>0</v>
      </c>
      <c r="G88" s="145">
        <f t="shared" si="4"/>
        <v>0</v>
      </c>
      <c r="H88" s="22"/>
      <c r="I88" s="91"/>
      <c r="J88" s="101">
        <f t="shared" si="0"/>
        <v>0</v>
      </c>
      <c r="K88" s="102">
        <f t="shared" si="3"/>
        <v>0</v>
      </c>
      <c r="L88" s="31">
        <f t="shared" si="5"/>
        <v>0</v>
      </c>
      <c r="M88" s="71"/>
      <c r="N88" s="22"/>
    </row>
    <row r="89" spans="2:14" ht="9.75">
      <c r="B89" s="16"/>
      <c r="C89" s="69">
        <f t="shared" si="6"/>
        <v>0</v>
      </c>
      <c r="D89" s="2"/>
      <c r="E89" s="29">
        <f t="shared" si="1"/>
        <v>0</v>
      </c>
      <c r="F89" s="52">
        <f t="shared" si="2"/>
        <v>0</v>
      </c>
      <c r="G89" s="145">
        <f t="shared" si="4"/>
        <v>0</v>
      </c>
      <c r="H89" s="22"/>
      <c r="I89" s="91"/>
      <c r="J89" s="101">
        <f t="shared" si="0"/>
        <v>0</v>
      </c>
      <c r="K89" s="102">
        <f t="shared" si="3"/>
        <v>0</v>
      </c>
      <c r="L89" s="31">
        <f t="shared" si="5"/>
        <v>0</v>
      </c>
      <c r="M89" s="71"/>
      <c r="N89" s="22"/>
    </row>
    <row r="90" spans="2:14" ht="9.75">
      <c r="B90" s="16"/>
      <c r="C90" s="69">
        <f t="shared" si="6"/>
        <v>0</v>
      </c>
      <c r="D90" s="2"/>
      <c r="E90" s="29">
        <f t="shared" si="1"/>
        <v>0</v>
      </c>
      <c r="F90" s="52">
        <f t="shared" si="2"/>
        <v>0</v>
      </c>
      <c r="G90" s="145">
        <f t="shared" si="4"/>
        <v>0</v>
      </c>
      <c r="H90" s="22"/>
      <c r="I90" s="91"/>
      <c r="J90" s="101">
        <f t="shared" si="0"/>
        <v>0</v>
      </c>
      <c r="K90" s="102">
        <f t="shared" si="3"/>
        <v>0</v>
      </c>
      <c r="L90" s="31">
        <f t="shared" si="5"/>
        <v>0</v>
      </c>
      <c r="M90" s="71"/>
      <c r="N90" s="22"/>
    </row>
    <row r="91" spans="2:14" ht="9.75">
      <c r="B91" s="16"/>
      <c r="C91" s="69">
        <f t="shared" si="6"/>
        <v>0</v>
      </c>
      <c r="D91" s="2"/>
      <c r="E91" s="29">
        <f t="shared" si="1"/>
        <v>0</v>
      </c>
      <c r="F91" s="52">
        <f t="shared" si="2"/>
        <v>0</v>
      </c>
      <c r="G91" s="145">
        <f t="shared" si="4"/>
        <v>0</v>
      </c>
      <c r="H91" s="22"/>
      <c r="I91" s="91"/>
      <c r="J91" s="101">
        <f t="shared" si="0"/>
        <v>0</v>
      </c>
      <c r="K91" s="102">
        <f t="shared" si="3"/>
        <v>0</v>
      </c>
      <c r="L91" s="31">
        <f t="shared" si="5"/>
        <v>0</v>
      </c>
      <c r="M91" s="71"/>
      <c r="N91" s="22"/>
    </row>
    <row r="92" spans="2:14" ht="9.75">
      <c r="B92" s="16"/>
      <c r="C92" s="69">
        <f t="shared" si="6"/>
        <v>0</v>
      </c>
      <c r="D92" s="2"/>
      <c r="E92" s="29">
        <f t="shared" si="1"/>
        <v>0</v>
      </c>
      <c r="F92" s="52">
        <f t="shared" si="2"/>
        <v>0</v>
      </c>
      <c r="G92" s="145">
        <f t="shared" si="4"/>
        <v>0</v>
      </c>
      <c r="H92" s="22"/>
      <c r="I92" s="91"/>
      <c r="J92" s="101">
        <f t="shared" si="0"/>
        <v>0</v>
      </c>
      <c r="K92" s="102">
        <f t="shared" si="3"/>
        <v>0</v>
      </c>
      <c r="L92" s="31">
        <f t="shared" si="5"/>
        <v>0</v>
      </c>
      <c r="M92" s="71"/>
      <c r="N92" s="22"/>
    </row>
    <row r="93" spans="2:14" ht="9.75">
      <c r="B93" s="16"/>
      <c r="C93" s="69">
        <f t="shared" si="6"/>
        <v>0</v>
      </c>
      <c r="D93" s="2"/>
      <c r="E93" s="29">
        <f t="shared" si="1"/>
        <v>0</v>
      </c>
      <c r="F93" s="52">
        <f t="shared" si="2"/>
        <v>0</v>
      </c>
      <c r="G93" s="145">
        <f t="shared" si="4"/>
        <v>0</v>
      </c>
      <c r="H93" s="22"/>
      <c r="I93" s="91"/>
      <c r="J93" s="101">
        <f t="shared" si="0"/>
        <v>0</v>
      </c>
      <c r="K93" s="102">
        <f t="shared" si="3"/>
        <v>0</v>
      </c>
      <c r="L93" s="31">
        <f t="shared" si="5"/>
        <v>0</v>
      </c>
      <c r="M93" s="71"/>
      <c r="N93" s="22"/>
    </row>
    <row r="94" spans="2:14" ht="9.75">
      <c r="B94" s="16"/>
      <c r="C94" s="69">
        <f t="shared" si="6"/>
        <v>0</v>
      </c>
      <c r="D94" s="2"/>
      <c r="E94" s="29">
        <f t="shared" si="1"/>
        <v>0</v>
      </c>
      <c r="F94" s="52">
        <f t="shared" si="2"/>
        <v>0</v>
      </c>
      <c r="G94" s="145">
        <f t="shared" si="4"/>
        <v>0</v>
      </c>
      <c r="H94" s="22"/>
      <c r="I94" s="91"/>
      <c r="J94" s="101">
        <f t="shared" si="0"/>
        <v>0</v>
      </c>
      <c r="K94" s="102">
        <f t="shared" si="3"/>
        <v>0</v>
      </c>
      <c r="L94" s="31">
        <f t="shared" si="5"/>
        <v>0</v>
      </c>
      <c r="M94" s="71"/>
      <c r="N94" s="22"/>
    </row>
    <row r="95" spans="2:14" ht="9.75">
      <c r="B95" s="16"/>
      <c r="C95" s="69">
        <f t="shared" si="6"/>
        <v>0</v>
      </c>
      <c r="D95" s="2"/>
      <c r="E95" s="29">
        <f t="shared" si="1"/>
        <v>0</v>
      </c>
      <c r="F95" s="52">
        <f t="shared" si="2"/>
        <v>0</v>
      </c>
      <c r="G95" s="145">
        <f t="shared" si="4"/>
        <v>0</v>
      </c>
      <c r="H95" s="22"/>
      <c r="I95" s="91"/>
      <c r="J95" s="101">
        <f t="shared" si="0"/>
        <v>0</v>
      </c>
      <c r="K95" s="102">
        <f t="shared" si="3"/>
        <v>0</v>
      </c>
      <c r="L95" s="31">
        <f t="shared" si="5"/>
        <v>0</v>
      </c>
      <c r="M95" s="71"/>
      <c r="N95" s="22"/>
    </row>
    <row r="96" spans="2:14" ht="9.75">
      <c r="B96" s="16"/>
      <c r="C96" s="69">
        <f t="shared" si="6"/>
        <v>0</v>
      </c>
      <c r="D96" s="2"/>
      <c r="E96" s="29">
        <f t="shared" si="1"/>
        <v>0</v>
      </c>
      <c r="F96" s="52">
        <f t="shared" si="2"/>
        <v>0</v>
      </c>
      <c r="G96" s="145">
        <f t="shared" si="4"/>
        <v>0</v>
      </c>
      <c r="H96" s="22"/>
      <c r="I96" s="103"/>
      <c r="J96" s="101">
        <f aca="true" t="shared" si="7" ref="J96:J127">C96</f>
        <v>0</v>
      </c>
      <c r="K96" s="102">
        <f t="shared" si="3"/>
        <v>0</v>
      </c>
      <c r="L96" s="31">
        <f t="shared" si="5"/>
        <v>0</v>
      </c>
      <c r="M96" s="104"/>
      <c r="N96" s="22"/>
    </row>
    <row r="97" spans="2:14" ht="9.75">
      <c r="B97" s="16"/>
      <c r="C97" s="69">
        <f t="shared" si="6"/>
        <v>0</v>
      </c>
      <c r="D97" s="2"/>
      <c r="E97" s="29">
        <f aca="true" t="shared" si="8" ref="E97:E128">IF(OR($F$11=0,C97=$F$42),0,IF(OR(C97=0,C97=$F$42),IF(AND(C97=$F$50,C97&lt;&gt;0),$F$12*(1-$C$12)/$F$11,0),$F$12*(1-$C$12)/$F$11))</f>
        <v>0</v>
      </c>
      <c r="F97" s="52">
        <f aca="true" t="shared" si="9" ref="F97:F128">IF(AND(C97=0,E97=0),0,IF(AND(C97=$F$9,$F$42=""),E97*100+$F$30,IF(AND(C97&lt;$F$9,$F$42=""),E97*100,IF(C97=$F$42,$F$54+E97*100,E97*100))))</f>
        <v>0</v>
      </c>
      <c r="G97" s="145">
        <f t="shared" si="4"/>
        <v>0</v>
      </c>
      <c r="H97" s="22"/>
      <c r="I97" s="91"/>
      <c r="J97" s="101">
        <f t="shared" si="7"/>
        <v>0</v>
      </c>
      <c r="K97" s="102">
        <f aca="true" t="shared" si="10" ref="K97:K128">IF(J97=0,0,IF(OR(J97=$F$42,J97=$F$9),$K$55,F97*$K$18/100-$K$43))</f>
        <v>0</v>
      </c>
      <c r="L97" s="31">
        <f t="shared" si="5"/>
        <v>0</v>
      </c>
      <c r="M97" s="71"/>
      <c r="N97" s="22"/>
    </row>
    <row r="98" spans="2:14" ht="9.75">
      <c r="B98" s="16"/>
      <c r="C98" s="69">
        <f t="shared" si="6"/>
        <v>0</v>
      </c>
      <c r="D98" s="2"/>
      <c r="E98" s="29">
        <f t="shared" si="8"/>
        <v>0</v>
      </c>
      <c r="F98" s="52">
        <f t="shared" si="9"/>
        <v>0</v>
      </c>
      <c r="G98" s="145">
        <f aca="true" t="shared" si="11" ref="G98:G129">IF(OR(D98=0,D98="",$F$22=0,$F$22=""),0,F98/D98)</f>
        <v>0</v>
      </c>
      <c r="H98" s="22"/>
      <c r="I98" s="91"/>
      <c r="J98" s="101">
        <f t="shared" si="7"/>
        <v>0</v>
      </c>
      <c r="K98" s="102">
        <f t="shared" si="10"/>
        <v>0</v>
      </c>
      <c r="L98" s="31">
        <f t="shared" si="5"/>
        <v>0</v>
      </c>
      <c r="M98" s="71"/>
      <c r="N98" s="22"/>
    </row>
    <row r="99" spans="2:14" ht="9.75">
      <c r="B99" s="16"/>
      <c r="C99" s="69">
        <f aca="true" t="shared" si="12" ref="C99:C130">IF(OR(C98=$F$9,C98=$F$42,C98=0),0,IF(C98=$F$42,0,IF(AND(COUPNCD(C98,$F$9,$F$11,1)&gt;$F$42,$F$42&lt;&gt;""),$F$42,(IF(C98=0,0,IF(C98=$F$9,0,COUPNCD(C98,$F$9,$F$11,1)))))))</f>
        <v>0</v>
      </c>
      <c r="D99" s="2"/>
      <c r="E99" s="29">
        <f t="shared" si="8"/>
        <v>0</v>
      </c>
      <c r="F99" s="52">
        <f t="shared" si="9"/>
        <v>0</v>
      </c>
      <c r="G99" s="145">
        <f t="shared" si="11"/>
        <v>0</v>
      </c>
      <c r="H99" s="22"/>
      <c r="I99" s="91"/>
      <c r="J99" s="101">
        <f t="shared" si="7"/>
        <v>0</v>
      </c>
      <c r="K99" s="102">
        <f t="shared" si="10"/>
        <v>0</v>
      </c>
      <c r="L99" s="31">
        <f t="shared" si="5"/>
        <v>0</v>
      </c>
      <c r="M99" s="71"/>
      <c r="N99" s="22"/>
    </row>
    <row r="100" spans="2:14" ht="9.75">
      <c r="B100" s="16"/>
      <c r="C100" s="69">
        <f t="shared" si="12"/>
        <v>0</v>
      </c>
      <c r="D100" s="2"/>
      <c r="E100" s="29">
        <f t="shared" si="8"/>
        <v>0</v>
      </c>
      <c r="F100" s="52">
        <f t="shared" si="9"/>
        <v>0</v>
      </c>
      <c r="G100" s="145">
        <f t="shared" si="11"/>
        <v>0</v>
      </c>
      <c r="H100" s="22"/>
      <c r="I100" s="91"/>
      <c r="J100" s="101">
        <f t="shared" si="7"/>
        <v>0</v>
      </c>
      <c r="K100" s="102">
        <f t="shared" si="10"/>
        <v>0</v>
      </c>
      <c r="L100" s="31">
        <f t="shared" si="5"/>
        <v>0</v>
      </c>
      <c r="M100" s="71"/>
      <c r="N100" s="22"/>
    </row>
    <row r="101" spans="2:14" ht="9.75">
      <c r="B101" s="16"/>
      <c r="C101" s="69">
        <f t="shared" si="12"/>
        <v>0</v>
      </c>
      <c r="D101" s="2"/>
      <c r="E101" s="29">
        <f t="shared" si="8"/>
        <v>0</v>
      </c>
      <c r="F101" s="52">
        <f t="shared" si="9"/>
        <v>0</v>
      </c>
      <c r="G101" s="145">
        <f t="shared" si="11"/>
        <v>0</v>
      </c>
      <c r="H101" s="22"/>
      <c r="I101" s="91"/>
      <c r="J101" s="101">
        <f t="shared" si="7"/>
        <v>0</v>
      </c>
      <c r="K101" s="102">
        <f t="shared" si="10"/>
        <v>0</v>
      </c>
      <c r="L101" s="31">
        <f t="shared" si="5"/>
        <v>0</v>
      </c>
      <c r="M101" s="71"/>
      <c r="N101" s="22"/>
    </row>
    <row r="102" spans="2:14" ht="9.75">
      <c r="B102" s="16"/>
      <c r="C102" s="69">
        <f t="shared" si="12"/>
        <v>0</v>
      </c>
      <c r="D102" s="2"/>
      <c r="E102" s="29">
        <f t="shared" si="8"/>
        <v>0</v>
      </c>
      <c r="F102" s="52">
        <f t="shared" si="9"/>
        <v>0</v>
      </c>
      <c r="G102" s="145">
        <f t="shared" si="11"/>
        <v>0</v>
      </c>
      <c r="H102" s="22"/>
      <c r="I102" s="91"/>
      <c r="J102" s="101">
        <f t="shared" si="7"/>
        <v>0</v>
      </c>
      <c r="K102" s="102">
        <f t="shared" si="10"/>
        <v>0</v>
      </c>
      <c r="L102" s="31">
        <f t="shared" si="5"/>
        <v>0</v>
      </c>
      <c r="M102" s="71"/>
      <c r="N102" s="22"/>
    </row>
    <row r="103" spans="2:14" ht="9.75">
      <c r="B103" s="16"/>
      <c r="C103" s="69">
        <f t="shared" si="12"/>
        <v>0</v>
      </c>
      <c r="D103" s="2"/>
      <c r="E103" s="29">
        <f t="shared" si="8"/>
        <v>0</v>
      </c>
      <c r="F103" s="52">
        <f t="shared" si="9"/>
        <v>0</v>
      </c>
      <c r="G103" s="145">
        <f t="shared" si="11"/>
        <v>0</v>
      </c>
      <c r="H103" s="22"/>
      <c r="I103" s="91"/>
      <c r="J103" s="101">
        <f t="shared" si="7"/>
        <v>0</v>
      </c>
      <c r="K103" s="102">
        <f t="shared" si="10"/>
        <v>0</v>
      </c>
      <c r="L103" s="31">
        <f t="shared" si="5"/>
        <v>0</v>
      </c>
      <c r="M103" s="71"/>
      <c r="N103" s="22"/>
    </row>
    <row r="104" spans="2:14" ht="9.75">
      <c r="B104" s="16"/>
      <c r="C104" s="69">
        <f t="shared" si="12"/>
        <v>0</v>
      </c>
      <c r="D104" s="2"/>
      <c r="E104" s="29">
        <f t="shared" si="8"/>
        <v>0</v>
      </c>
      <c r="F104" s="52">
        <f t="shared" si="9"/>
        <v>0</v>
      </c>
      <c r="G104" s="145">
        <f t="shared" si="11"/>
        <v>0</v>
      </c>
      <c r="H104" s="22"/>
      <c r="I104" s="91"/>
      <c r="J104" s="101">
        <f t="shared" si="7"/>
        <v>0</v>
      </c>
      <c r="K104" s="102">
        <f t="shared" si="10"/>
        <v>0</v>
      </c>
      <c r="L104" s="31">
        <f t="shared" si="5"/>
        <v>0</v>
      </c>
      <c r="M104" s="71"/>
      <c r="N104" s="22"/>
    </row>
    <row r="105" spans="2:14" ht="9.75">
      <c r="B105" s="16"/>
      <c r="C105" s="69">
        <f t="shared" si="12"/>
        <v>0</v>
      </c>
      <c r="D105" s="2"/>
      <c r="E105" s="29">
        <f t="shared" si="8"/>
        <v>0</v>
      </c>
      <c r="F105" s="52">
        <f t="shared" si="9"/>
        <v>0</v>
      </c>
      <c r="G105" s="145">
        <f t="shared" si="11"/>
        <v>0</v>
      </c>
      <c r="H105" s="22"/>
      <c r="I105" s="91"/>
      <c r="J105" s="101">
        <f t="shared" si="7"/>
        <v>0</v>
      </c>
      <c r="K105" s="102">
        <f t="shared" si="10"/>
        <v>0</v>
      </c>
      <c r="L105" s="31">
        <f t="shared" si="5"/>
        <v>0</v>
      </c>
      <c r="M105" s="71"/>
      <c r="N105" s="22"/>
    </row>
    <row r="106" spans="2:14" ht="9.75">
      <c r="B106" s="16"/>
      <c r="C106" s="69">
        <f t="shared" si="12"/>
        <v>0</v>
      </c>
      <c r="D106" s="2"/>
      <c r="E106" s="29">
        <f t="shared" si="8"/>
        <v>0</v>
      </c>
      <c r="F106" s="52">
        <f t="shared" si="9"/>
        <v>0</v>
      </c>
      <c r="G106" s="145">
        <f t="shared" si="11"/>
        <v>0</v>
      </c>
      <c r="H106" s="22"/>
      <c r="I106" s="91"/>
      <c r="J106" s="101">
        <f t="shared" si="7"/>
        <v>0</v>
      </c>
      <c r="K106" s="102">
        <f t="shared" si="10"/>
        <v>0</v>
      </c>
      <c r="L106" s="31">
        <f t="shared" si="5"/>
        <v>0</v>
      </c>
      <c r="M106" s="71"/>
      <c r="N106" s="22"/>
    </row>
    <row r="107" spans="2:14" ht="9.75">
      <c r="B107" s="16"/>
      <c r="C107" s="69">
        <f t="shared" si="12"/>
        <v>0</v>
      </c>
      <c r="D107" s="2"/>
      <c r="E107" s="29">
        <f t="shared" si="8"/>
        <v>0</v>
      </c>
      <c r="F107" s="52">
        <f t="shared" si="9"/>
        <v>0</v>
      </c>
      <c r="G107" s="145">
        <f t="shared" si="11"/>
        <v>0</v>
      </c>
      <c r="H107" s="22"/>
      <c r="I107" s="91"/>
      <c r="J107" s="101">
        <f t="shared" si="7"/>
        <v>0</v>
      </c>
      <c r="K107" s="102">
        <f t="shared" si="10"/>
        <v>0</v>
      </c>
      <c r="L107" s="31">
        <f t="shared" si="5"/>
        <v>0</v>
      </c>
      <c r="M107" s="71"/>
      <c r="N107" s="22"/>
    </row>
    <row r="108" spans="2:14" ht="9.75">
      <c r="B108" s="16"/>
      <c r="C108" s="69">
        <f t="shared" si="12"/>
        <v>0</v>
      </c>
      <c r="D108" s="2"/>
      <c r="E108" s="29">
        <f t="shared" si="8"/>
        <v>0</v>
      </c>
      <c r="F108" s="52">
        <f t="shared" si="9"/>
        <v>0</v>
      </c>
      <c r="G108" s="145">
        <f t="shared" si="11"/>
        <v>0</v>
      </c>
      <c r="H108" s="22"/>
      <c r="I108" s="91"/>
      <c r="J108" s="101">
        <f t="shared" si="7"/>
        <v>0</v>
      </c>
      <c r="K108" s="102">
        <f t="shared" si="10"/>
        <v>0</v>
      </c>
      <c r="L108" s="31">
        <f t="shared" si="5"/>
        <v>0</v>
      </c>
      <c r="M108" s="71"/>
      <c r="N108" s="22"/>
    </row>
    <row r="109" spans="2:14" ht="9.75">
      <c r="B109" s="16"/>
      <c r="C109" s="69">
        <f t="shared" si="12"/>
        <v>0</v>
      </c>
      <c r="D109" s="2"/>
      <c r="E109" s="29">
        <f t="shared" si="8"/>
        <v>0</v>
      </c>
      <c r="F109" s="52">
        <f t="shared" si="9"/>
        <v>0</v>
      </c>
      <c r="G109" s="145">
        <f t="shared" si="11"/>
        <v>0</v>
      </c>
      <c r="H109" s="22"/>
      <c r="I109" s="91"/>
      <c r="J109" s="101">
        <f t="shared" si="7"/>
        <v>0</v>
      </c>
      <c r="K109" s="102">
        <f t="shared" si="10"/>
        <v>0</v>
      </c>
      <c r="L109" s="31">
        <f t="shared" si="5"/>
        <v>0</v>
      </c>
      <c r="M109" s="71"/>
      <c r="N109" s="22"/>
    </row>
    <row r="110" spans="2:14" ht="9.75">
      <c r="B110" s="16"/>
      <c r="C110" s="69">
        <f t="shared" si="12"/>
        <v>0</v>
      </c>
      <c r="D110" s="2"/>
      <c r="E110" s="29">
        <f t="shared" si="8"/>
        <v>0</v>
      </c>
      <c r="F110" s="52">
        <f t="shared" si="9"/>
        <v>0</v>
      </c>
      <c r="G110" s="145">
        <f t="shared" si="11"/>
        <v>0</v>
      </c>
      <c r="H110" s="22"/>
      <c r="I110" s="91"/>
      <c r="J110" s="101">
        <f t="shared" si="7"/>
        <v>0</v>
      </c>
      <c r="K110" s="102">
        <f t="shared" si="10"/>
        <v>0</v>
      </c>
      <c r="L110" s="31">
        <f t="shared" si="5"/>
        <v>0</v>
      </c>
      <c r="M110" s="71"/>
      <c r="N110" s="22"/>
    </row>
    <row r="111" spans="2:14" ht="9.75">
      <c r="B111" s="16"/>
      <c r="C111" s="69">
        <f t="shared" si="12"/>
        <v>0</v>
      </c>
      <c r="D111" s="2"/>
      <c r="E111" s="29">
        <f t="shared" si="8"/>
        <v>0</v>
      </c>
      <c r="F111" s="52">
        <f t="shared" si="9"/>
        <v>0</v>
      </c>
      <c r="G111" s="145">
        <f t="shared" si="11"/>
        <v>0</v>
      </c>
      <c r="H111" s="22"/>
      <c r="I111" s="91"/>
      <c r="J111" s="101">
        <f t="shared" si="7"/>
        <v>0</v>
      </c>
      <c r="K111" s="102">
        <f t="shared" si="10"/>
        <v>0</v>
      </c>
      <c r="L111" s="31">
        <f t="shared" si="5"/>
        <v>0</v>
      </c>
      <c r="M111" s="71"/>
      <c r="N111" s="22"/>
    </row>
    <row r="112" spans="2:14" ht="9.75">
      <c r="B112" s="16"/>
      <c r="C112" s="69">
        <f t="shared" si="12"/>
        <v>0</v>
      </c>
      <c r="D112" s="2"/>
      <c r="E112" s="29">
        <f t="shared" si="8"/>
        <v>0</v>
      </c>
      <c r="F112" s="52">
        <f t="shared" si="9"/>
        <v>0</v>
      </c>
      <c r="G112" s="145">
        <f t="shared" si="11"/>
        <v>0</v>
      </c>
      <c r="H112" s="22"/>
      <c r="I112" s="91"/>
      <c r="J112" s="101">
        <f t="shared" si="7"/>
        <v>0</v>
      </c>
      <c r="K112" s="102">
        <f t="shared" si="10"/>
        <v>0</v>
      </c>
      <c r="L112" s="31">
        <f t="shared" si="5"/>
        <v>0</v>
      </c>
      <c r="M112" s="71"/>
      <c r="N112" s="22"/>
    </row>
    <row r="113" spans="2:14" ht="9.75">
      <c r="B113" s="16"/>
      <c r="C113" s="69">
        <f t="shared" si="12"/>
        <v>0</v>
      </c>
      <c r="D113" s="2"/>
      <c r="E113" s="29">
        <f t="shared" si="8"/>
        <v>0</v>
      </c>
      <c r="F113" s="52">
        <f t="shared" si="9"/>
        <v>0</v>
      </c>
      <c r="G113" s="145">
        <f t="shared" si="11"/>
        <v>0</v>
      </c>
      <c r="H113" s="22"/>
      <c r="I113" s="91"/>
      <c r="J113" s="101">
        <f t="shared" si="7"/>
        <v>0</v>
      </c>
      <c r="K113" s="102">
        <f t="shared" si="10"/>
        <v>0</v>
      </c>
      <c r="L113" s="31">
        <f t="shared" si="5"/>
        <v>0</v>
      </c>
      <c r="M113" s="71"/>
      <c r="N113" s="22"/>
    </row>
    <row r="114" spans="2:14" ht="9.75">
      <c r="B114" s="16"/>
      <c r="C114" s="69">
        <f t="shared" si="12"/>
        <v>0</v>
      </c>
      <c r="D114" s="2"/>
      <c r="E114" s="29">
        <f t="shared" si="8"/>
        <v>0</v>
      </c>
      <c r="F114" s="52">
        <f t="shared" si="9"/>
        <v>0</v>
      </c>
      <c r="G114" s="145">
        <f t="shared" si="11"/>
        <v>0</v>
      </c>
      <c r="H114" s="22"/>
      <c r="I114" s="91"/>
      <c r="J114" s="101">
        <f t="shared" si="7"/>
        <v>0</v>
      </c>
      <c r="K114" s="102">
        <f t="shared" si="10"/>
        <v>0</v>
      </c>
      <c r="L114" s="31">
        <f t="shared" si="5"/>
        <v>0</v>
      </c>
      <c r="M114" s="71"/>
      <c r="N114" s="22"/>
    </row>
    <row r="115" spans="2:14" ht="9.75">
      <c r="B115" s="16"/>
      <c r="C115" s="69">
        <f t="shared" si="12"/>
        <v>0</v>
      </c>
      <c r="D115" s="2"/>
      <c r="E115" s="29">
        <f t="shared" si="8"/>
        <v>0</v>
      </c>
      <c r="F115" s="52">
        <f t="shared" si="9"/>
        <v>0</v>
      </c>
      <c r="G115" s="145">
        <f t="shared" si="11"/>
        <v>0</v>
      </c>
      <c r="H115" s="22"/>
      <c r="I115" s="91"/>
      <c r="J115" s="101">
        <f t="shared" si="7"/>
        <v>0</v>
      </c>
      <c r="K115" s="102">
        <f t="shared" si="10"/>
        <v>0</v>
      </c>
      <c r="L115" s="31">
        <f t="shared" si="5"/>
        <v>0</v>
      </c>
      <c r="M115" s="71"/>
      <c r="N115" s="22"/>
    </row>
    <row r="116" spans="2:14" ht="9.75">
      <c r="B116" s="16"/>
      <c r="C116" s="69">
        <f t="shared" si="12"/>
        <v>0</v>
      </c>
      <c r="D116" s="2"/>
      <c r="E116" s="29">
        <f t="shared" si="8"/>
        <v>0</v>
      </c>
      <c r="F116" s="52">
        <f t="shared" si="9"/>
        <v>0</v>
      </c>
      <c r="G116" s="145">
        <f t="shared" si="11"/>
        <v>0</v>
      </c>
      <c r="H116" s="22"/>
      <c r="I116" s="91"/>
      <c r="J116" s="101">
        <f t="shared" si="7"/>
        <v>0</v>
      </c>
      <c r="K116" s="102">
        <f t="shared" si="10"/>
        <v>0</v>
      </c>
      <c r="L116" s="31">
        <f t="shared" si="5"/>
        <v>0</v>
      </c>
      <c r="M116" s="71"/>
      <c r="N116" s="22"/>
    </row>
    <row r="117" spans="2:14" ht="9.75">
      <c r="B117" s="16"/>
      <c r="C117" s="69">
        <f t="shared" si="12"/>
        <v>0</v>
      </c>
      <c r="D117" s="2"/>
      <c r="E117" s="29">
        <f t="shared" si="8"/>
        <v>0</v>
      </c>
      <c r="F117" s="52">
        <f t="shared" si="9"/>
        <v>0</v>
      </c>
      <c r="G117" s="145">
        <f t="shared" si="11"/>
        <v>0</v>
      </c>
      <c r="H117" s="22"/>
      <c r="I117" s="91"/>
      <c r="J117" s="101">
        <f t="shared" si="7"/>
        <v>0</v>
      </c>
      <c r="K117" s="102">
        <f t="shared" si="10"/>
        <v>0</v>
      </c>
      <c r="L117" s="31">
        <f t="shared" si="5"/>
        <v>0</v>
      </c>
      <c r="M117" s="71"/>
      <c r="N117" s="22"/>
    </row>
    <row r="118" spans="2:14" ht="9.75">
      <c r="B118" s="16"/>
      <c r="C118" s="69">
        <f t="shared" si="12"/>
        <v>0</v>
      </c>
      <c r="D118" s="2"/>
      <c r="E118" s="29">
        <f t="shared" si="8"/>
        <v>0</v>
      </c>
      <c r="F118" s="52">
        <f t="shared" si="9"/>
        <v>0</v>
      </c>
      <c r="G118" s="145">
        <f t="shared" si="11"/>
        <v>0</v>
      </c>
      <c r="H118" s="22"/>
      <c r="I118" s="91"/>
      <c r="J118" s="101">
        <f t="shared" si="7"/>
        <v>0</v>
      </c>
      <c r="K118" s="102">
        <f t="shared" si="10"/>
        <v>0</v>
      </c>
      <c r="L118" s="31">
        <f t="shared" si="5"/>
        <v>0</v>
      </c>
      <c r="M118" s="71"/>
      <c r="N118" s="22"/>
    </row>
    <row r="119" spans="2:14" ht="9.75">
      <c r="B119" s="16"/>
      <c r="C119" s="69">
        <f t="shared" si="12"/>
        <v>0</v>
      </c>
      <c r="D119" s="2"/>
      <c r="E119" s="29">
        <f t="shared" si="8"/>
        <v>0</v>
      </c>
      <c r="F119" s="52">
        <f t="shared" si="9"/>
        <v>0</v>
      </c>
      <c r="G119" s="145">
        <f t="shared" si="11"/>
        <v>0</v>
      </c>
      <c r="H119" s="22"/>
      <c r="I119" s="91"/>
      <c r="J119" s="101">
        <f t="shared" si="7"/>
        <v>0</v>
      </c>
      <c r="K119" s="102">
        <f t="shared" si="10"/>
        <v>0</v>
      </c>
      <c r="L119" s="31">
        <f t="shared" si="5"/>
        <v>0</v>
      </c>
      <c r="M119" s="71"/>
      <c r="N119" s="22"/>
    </row>
    <row r="120" spans="2:14" ht="9.75">
      <c r="B120" s="16"/>
      <c r="C120" s="69">
        <f t="shared" si="12"/>
        <v>0</v>
      </c>
      <c r="D120" s="2"/>
      <c r="E120" s="29">
        <f t="shared" si="8"/>
        <v>0</v>
      </c>
      <c r="F120" s="52">
        <f t="shared" si="9"/>
        <v>0</v>
      </c>
      <c r="G120" s="145">
        <f t="shared" si="11"/>
        <v>0</v>
      </c>
      <c r="H120" s="22"/>
      <c r="I120" s="91"/>
      <c r="J120" s="101">
        <f t="shared" si="7"/>
        <v>0</v>
      </c>
      <c r="K120" s="102">
        <f t="shared" si="10"/>
        <v>0</v>
      </c>
      <c r="L120" s="31">
        <f t="shared" si="5"/>
        <v>0</v>
      </c>
      <c r="M120" s="71"/>
      <c r="N120" s="22"/>
    </row>
    <row r="121" spans="2:14" ht="9.75">
      <c r="B121" s="16"/>
      <c r="C121" s="69">
        <f t="shared" si="12"/>
        <v>0</v>
      </c>
      <c r="D121" s="2"/>
      <c r="E121" s="29">
        <f t="shared" si="8"/>
        <v>0</v>
      </c>
      <c r="F121" s="52">
        <f t="shared" si="9"/>
        <v>0</v>
      </c>
      <c r="G121" s="145">
        <f t="shared" si="11"/>
        <v>0</v>
      </c>
      <c r="H121" s="22"/>
      <c r="I121" s="91"/>
      <c r="J121" s="101">
        <f t="shared" si="7"/>
        <v>0</v>
      </c>
      <c r="K121" s="102">
        <f t="shared" si="10"/>
        <v>0</v>
      </c>
      <c r="L121" s="31">
        <f t="shared" si="5"/>
        <v>0</v>
      </c>
      <c r="M121" s="71"/>
      <c r="N121" s="22"/>
    </row>
    <row r="122" spans="2:14" ht="9.75">
      <c r="B122" s="16"/>
      <c r="C122" s="69">
        <f t="shared" si="12"/>
        <v>0</v>
      </c>
      <c r="D122" s="2"/>
      <c r="E122" s="29">
        <f t="shared" si="8"/>
        <v>0</v>
      </c>
      <c r="F122" s="52">
        <f t="shared" si="9"/>
        <v>0</v>
      </c>
      <c r="G122" s="145">
        <f t="shared" si="11"/>
        <v>0</v>
      </c>
      <c r="H122" s="22"/>
      <c r="I122" s="91"/>
      <c r="J122" s="101">
        <f t="shared" si="7"/>
        <v>0</v>
      </c>
      <c r="K122" s="102">
        <f t="shared" si="10"/>
        <v>0</v>
      </c>
      <c r="L122" s="31">
        <f t="shared" si="5"/>
        <v>0</v>
      </c>
      <c r="M122" s="71"/>
      <c r="N122" s="22"/>
    </row>
    <row r="123" spans="2:14" ht="9.75">
      <c r="B123" s="16"/>
      <c r="C123" s="69">
        <f t="shared" si="12"/>
        <v>0</v>
      </c>
      <c r="D123" s="2"/>
      <c r="E123" s="29">
        <f t="shared" si="8"/>
        <v>0</v>
      </c>
      <c r="F123" s="52">
        <f t="shared" si="9"/>
        <v>0</v>
      </c>
      <c r="G123" s="145">
        <f t="shared" si="11"/>
        <v>0</v>
      </c>
      <c r="H123" s="22"/>
      <c r="I123" s="91"/>
      <c r="J123" s="101">
        <f t="shared" si="7"/>
        <v>0</v>
      </c>
      <c r="K123" s="102">
        <f t="shared" si="10"/>
        <v>0</v>
      </c>
      <c r="L123" s="31">
        <f t="shared" si="5"/>
        <v>0</v>
      </c>
      <c r="M123" s="71"/>
      <c r="N123" s="22"/>
    </row>
    <row r="124" spans="2:14" ht="9.75">
      <c r="B124" s="16"/>
      <c r="C124" s="69">
        <f t="shared" si="12"/>
        <v>0</v>
      </c>
      <c r="D124" s="2"/>
      <c r="E124" s="29">
        <f t="shared" si="8"/>
        <v>0</v>
      </c>
      <c r="F124" s="52">
        <f t="shared" si="9"/>
        <v>0</v>
      </c>
      <c r="G124" s="145">
        <f t="shared" si="11"/>
        <v>0</v>
      </c>
      <c r="H124" s="22"/>
      <c r="I124" s="91"/>
      <c r="J124" s="101">
        <f t="shared" si="7"/>
        <v>0</v>
      </c>
      <c r="K124" s="102">
        <f t="shared" si="10"/>
        <v>0</v>
      </c>
      <c r="L124" s="31">
        <f t="shared" si="5"/>
        <v>0</v>
      </c>
      <c r="M124" s="71"/>
      <c r="N124" s="22"/>
    </row>
    <row r="125" spans="2:14" ht="9.75">
      <c r="B125" s="16"/>
      <c r="C125" s="69">
        <f t="shared" si="12"/>
        <v>0</v>
      </c>
      <c r="D125" s="2"/>
      <c r="E125" s="29">
        <f t="shared" si="8"/>
        <v>0</v>
      </c>
      <c r="F125" s="52">
        <f t="shared" si="9"/>
        <v>0</v>
      </c>
      <c r="G125" s="145">
        <f t="shared" si="11"/>
        <v>0</v>
      </c>
      <c r="H125" s="22"/>
      <c r="I125" s="91"/>
      <c r="J125" s="101">
        <f t="shared" si="7"/>
        <v>0</v>
      </c>
      <c r="K125" s="102">
        <f t="shared" si="10"/>
        <v>0</v>
      </c>
      <c r="L125" s="31">
        <f t="shared" si="5"/>
        <v>0</v>
      </c>
      <c r="M125" s="71"/>
      <c r="N125" s="22"/>
    </row>
    <row r="126" spans="2:14" ht="9.75">
      <c r="B126" s="16"/>
      <c r="C126" s="69">
        <f t="shared" si="12"/>
        <v>0</v>
      </c>
      <c r="D126" s="2"/>
      <c r="E126" s="29">
        <f t="shared" si="8"/>
        <v>0</v>
      </c>
      <c r="F126" s="52">
        <f t="shared" si="9"/>
        <v>0</v>
      </c>
      <c r="G126" s="145">
        <f t="shared" si="11"/>
        <v>0</v>
      </c>
      <c r="H126" s="22"/>
      <c r="I126" s="91"/>
      <c r="J126" s="101">
        <f t="shared" si="7"/>
        <v>0</v>
      </c>
      <c r="K126" s="102">
        <f t="shared" si="10"/>
        <v>0</v>
      </c>
      <c r="L126" s="31">
        <f t="shared" si="5"/>
        <v>0</v>
      </c>
      <c r="M126" s="71"/>
      <c r="N126" s="22"/>
    </row>
    <row r="127" spans="2:14" ht="9.75">
      <c r="B127" s="16"/>
      <c r="C127" s="69">
        <f t="shared" si="12"/>
        <v>0</v>
      </c>
      <c r="D127" s="2"/>
      <c r="E127" s="29">
        <f t="shared" si="8"/>
        <v>0</v>
      </c>
      <c r="F127" s="52">
        <f t="shared" si="9"/>
        <v>0</v>
      </c>
      <c r="G127" s="145">
        <f t="shared" si="11"/>
        <v>0</v>
      </c>
      <c r="H127" s="22"/>
      <c r="I127" s="91"/>
      <c r="J127" s="101">
        <f t="shared" si="7"/>
        <v>0</v>
      </c>
      <c r="K127" s="102">
        <f t="shared" si="10"/>
        <v>0</v>
      </c>
      <c r="L127" s="31">
        <f t="shared" si="5"/>
        <v>0</v>
      </c>
      <c r="M127" s="71"/>
      <c r="N127" s="22"/>
    </row>
    <row r="128" spans="2:14" ht="9.75">
      <c r="B128" s="16"/>
      <c r="C128" s="69">
        <f t="shared" si="12"/>
        <v>0</v>
      </c>
      <c r="D128" s="2"/>
      <c r="E128" s="29">
        <f t="shared" si="8"/>
        <v>0</v>
      </c>
      <c r="F128" s="52">
        <f t="shared" si="9"/>
        <v>0</v>
      </c>
      <c r="G128" s="145">
        <f t="shared" si="11"/>
        <v>0</v>
      </c>
      <c r="H128" s="22"/>
      <c r="I128" s="91"/>
      <c r="J128" s="101">
        <f aca="true" t="shared" si="13" ref="J128:J144">C128</f>
        <v>0</v>
      </c>
      <c r="K128" s="102">
        <f t="shared" si="10"/>
        <v>0</v>
      </c>
      <c r="L128" s="31">
        <f t="shared" si="5"/>
        <v>0</v>
      </c>
      <c r="M128" s="71"/>
      <c r="N128" s="22"/>
    </row>
    <row r="129" spans="2:14" ht="9.75">
      <c r="B129" s="16"/>
      <c r="C129" s="69">
        <f t="shared" si="12"/>
        <v>0</v>
      </c>
      <c r="D129" s="2"/>
      <c r="E129" s="29">
        <f aca="true" t="shared" si="14" ref="E129:E144">IF(OR($F$11=0,C129=$F$42),0,IF(OR(C129=0,C129=$F$42),IF(AND(C129=$F$50,C129&lt;&gt;0),$F$12*(1-$C$12)/$F$11,0),$F$12*(1-$C$12)/$F$11))</f>
        <v>0</v>
      </c>
      <c r="F129" s="52">
        <f aca="true" t="shared" si="15" ref="F129:F144">IF(AND(C129=0,E129=0),0,IF(AND(C129=$F$9,$F$42=""),E129*100+$F$30,IF(AND(C129&lt;$F$9,$F$42=""),E129*100,IF(C129=$F$42,$F$54+E129*100,E129*100))))</f>
        <v>0</v>
      </c>
      <c r="G129" s="145">
        <f t="shared" si="11"/>
        <v>0</v>
      </c>
      <c r="H129" s="22"/>
      <c r="I129" s="91"/>
      <c r="J129" s="101">
        <f t="shared" si="13"/>
        <v>0</v>
      </c>
      <c r="K129" s="102">
        <f aca="true" t="shared" si="16" ref="K129:K144">IF(J129=0,0,IF(OR(J129=$F$42,J129=$F$9),$K$55,F129*$K$18/100-$K$43))</f>
        <v>0</v>
      </c>
      <c r="L129" s="31">
        <f t="shared" si="5"/>
        <v>0</v>
      </c>
      <c r="M129" s="71"/>
      <c r="N129" s="22"/>
    </row>
    <row r="130" spans="2:14" ht="9.75">
      <c r="B130" s="16"/>
      <c r="C130" s="69">
        <f t="shared" si="12"/>
        <v>0</v>
      </c>
      <c r="D130" s="2"/>
      <c r="E130" s="29">
        <f t="shared" si="14"/>
        <v>0</v>
      </c>
      <c r="F130" s="52">
        <f t="shared" si="15"/>
        <v>0</v>
      </c>
      <c r="G130" s="145">
        <f aca="true" t="shared" si="17" ref="G130:G144">IF(OR(D130=0,D130="",$F$22=0,$F$22=""),0,F130/D130)</f>
        <v>0</v>
      </c>
      <c r="H130" s="22"/>
      <c r="I130" s="91"/>
      <c r="J130" s="101">
        <f t="shared" si="13"/>
        <v>0</v>
      </c>
      <c r="K130" s="102">
        <f t="shared" si="16"/>
        <v>0</v>
      </c>
      <c r="L130" s="31">
        <f aca="true" t="shared" si="18" ref="L130:L144">IF(OR(D130=0,J130=0),0,IF(OR(J130=$F$42,J130=$F$9),$L$55,G130*$K$18/100-$L$43))</f>
        <v>0</v>
      </c>
      <c r="M130" s="71"/>
      <c r="N130" s="22"/>
    </row>
    <row r="131" spans="2:14" ht="9.75">
      <c r="B131" s="16"/>
      <c r="C131" s="69">
        <f aca="true" t="shared" si="19" ref="C131:C144">IF(OR(C130=$F$9,C130=$F$42,C130=0),0,IF(C130=$F$42,0,IF(AND(COUPNCD(C130,$F$9,$F$11,1)&gt;$F$42,$F$42&lt;&gt;""),$F$42,(IF(C130=0,0,IF(C130=$F$9,0,COUPNCD(C130,$F$9,$F$11,1)))))))</f>
        <v>0</v>
      </c>
      <c r="D131" s="2"/>
      <c r="E131" s="29">
        <f t="shared" si="14"/>
        <v>0</v>
      </c>
      <c r="F131" s="52">
        <f t="shared" si="15"/>
        <v>0</v>
      </c>
      <c r="G131" s="145">
        <f t="shared" si="17"/>
        <v>0</v>
      </c>
      <c r="H131" s="22"/>
      <c r="I131" s="91"/>
      <c r="J131" s="101">
        <f t="shared" si="13"/>
        <v>0</v>
      </c>
      <c r="K131" s="102">
        <f t="shared" si="16"/>
        <v>0</v>
      </c>
      <c r="L131" s="31">
        <f t="shared" si="18"/>
        <v>0</v>
      </c>
      <c r="M131" s="71"/>
      <c r="N131" s="22"/>
    </row>
    <row r="132" spans="2:14" ht="9.75">
      <c r="B132" s="16"/>
      <c r="C132" s="69">
        <f t="shared" si="19"/>
        <v>0</v>
      </c>
      <c r="D132" s="2"/>
      <c r="E132" s="29">
        <f t="shared" si="14"/>
        <v>0</v>
      </c>
      <c r="F132" s="52">
        <f t="shared" si="15"/>
        <v>0</v>
      </c>
      <c r="G132" s="145">
        <f t="shared" si="17"/>
        <v>0</v>
      </c>
      <c r="H132" s="22"/>
      <c r="I132" s="91"/>
      <c r="J132" s="101">
        <f t="shared" si="13"/>
        <v>0</v>
      </c>
      <c r="K132" s="102">
        <f t="shared" si="16"/>
        <v>0</v>
      </c>
      <c r="L132" s="31">
        <f t="shared" si="18"/>
        <v>0</v>
      </c>
      <c r="M132" s="71"/>
      <c r="N132" s="22"/>
    </row>
    <row r="133" spans="2:14" ht="9.75">
      <c r="B133" s="16"/>
      <c r="C133" s="69">
        <f t="shared" si="19"/>
        <v>0</v>
      </c>
      <c r="D133" s="2"/>
      <c r="E133" s="29">
        <f t="shared" si="14"/>
        <v>0</v>
      </c>
      <c r="F133" s="52">
        <f t="shared" si="15"/>
        <v>0</v>
      </c>
      <c r="G133" s="145">
        <f t="shared" si="17"/>
        <v>0</v>
      </c>
      <c r="H133" s="22"/>
      <c r="I133" s="91"/>
      <c r="J133" s="101">
        <f t="shared" si="13"/>
        <v>0</v>
      </c>
      <c r="K133" s="102">
        <f t="shared" si="16"/>
        <v>0</v>
      </c>
      <c r="L133" s="31">
        <f t="shared" si="18"/>
        <v>0</v>
      </c>
      <c r="M133" s="71"/>
      <c r="N133" s="22"/>
    </row>
    <row r="134" spans="2:14" ht="9.75">
      <c r="B134" s="16"/>
      <c r="C134" s="69">
        <f t="shared" si="19"/>
        <v>0</v>
      </c>
      <c r="D134" s="2"/>
      <c r="E134" s="29">
        <f t="shared" si="14"/>
        <v>0</v>
      </c>
      <c r="F134" s="52">
        <f t="shared" si="15"/>
        <v>0</v>
      </c>
      <c r="G134" s="145">
        <f t="shared" si="17"/>
        <v>0</v>
      </c>
      <c r="H134" s="22"/>
      <c r="I134" s="91"/>
      <c r="J134" s="101">
        <f t="shared" si="13"/>
        <v>0</v>
      </c>
      <c r="K134" s="102">
        <f t="shared" si="16"/>
        <v>0</v>
      </c>
      <c r="L134" s="31">
        <f t="shared" si="18"/>
        <v>0</v>
      </c>
      <c r="M134" s="71"/>
      <c r="N134" s="22"/>
    </row>
    <row r="135" spans="2:14" ht="9.75">
      <c r="B135" s="16"/>
      <c r="C135" s="69">
        <f t="shared" si="19"/>
        <v>0</v>
      </c>
      <c r="D135" s="2"/>
      <c r="E135" s="29">
        <f t="shared" si="14"/>
        <v>0</v>
      </c>
      <c r="F135" s="52">
        <f t="shared" si="15"/>
        <v>0</v>
      </c>
      <c r="G135" s="145">
        <f t="shared" si="17"/>
        <v>0</v>
      </c>
      <c r="H135" s="22"/>
      <c r="I135" s="91"/>
      <c r="J135" s="101">
        <f t="shared" si="13"/>
        <v>0</v>
      </c>
      <c r="K135" s="102">
        <f t="shared" si="16"/>
        <v>0</v>
      </c>
      <c r="L135" s="31">
        <f t="shared" si="18"/>
        <v>0</v>
      </c>
      <c r="M135" s="71"/>
      <c r="N135" s="22"/>
    </row>
    <row r="136" spans="2:14" ht="9.75">
      <c r="B136" s="16"/>
      <c r="C136" s="69">
        <f t="shared" si="19"/>
        <v>0</v>
      </c>
      <c r="D136" s="2"/>
      <c r="E136" s="29">
        <f t="shared" si="14"/>
        <v>0</v>
      </c>
      <c r="F136" s="52">
        <f t="shared" si="15"/>
        <v>0</v>
      </c>
      <c r="G136" s="145">
        <f t="shared" si="17"/>
        <v>0</v>
      </c>
      <c r="H136" s="22"/>
      <c r="I136" s="91"/>
      <c r="J136" s="101">
        <f t="shared" si="13"/>
        <v>0</v>
      </c>
      <c r="K136" s="102">
        <f t="shared" si="16"/>
        <v>0</v>
      </c>
      <c r="L136" s="31">
        <f t="shared" si="18"/>
        <v>0</v>
      </c>
      <c r="M136" s="71"/>
      <c r="N136" s="22"/>
    </row>
    <row r="137" spans="2:14" ht="9.75">
      <c r="B137" s="16"/>
      <c r="C137" s="69">
        <f t="shared" si="19"/>
        <v>0</v>
      </c>
      <c r="D137" s="2"/>
      <c r="E137" s="29">
        <f t="shared" si="14"/>
        <v>0</v>
      </c>
      <c r="F137" s="52">
        <f t="shared" si="15"/>
        <v>0</v>
      </c>
      <c r="G137" s="145">
        <f t="shared" si="17"/>
        <v>0</v>
      </c>
      <c r="H137" s="22"/>
      <c r="I137" s="91"/>
      <c r="J137" s="101">
        <f t="shared" si="13"/>
        <v>0</v>
      </c>
      <c r="K137" s="102">
        <f t="shared" si="16"/>
        <v>0</v>
      </c>
      <c r="L137" s="31">
        <f t="shared" si="18"/>
        <v>0</v>
      </c>
      <c r="M137" s="71"/>
      <c r="N137" s="22"/>
    </row>
    <row r="138" spans="2:14" ht="9.75">
      <c r="B138" s="16"/>
      <c r="C138" s="69">
        <f t="shared" si="19"/>
        <v>0</v>
      </c>
      <c r="D138" s="2"/>
      <c r="E138" s="29">
        <f t="shared" si="14"/>
        <v>0</v>
      </c>
      <c r="F138" s="52">
        <f t="shared" si="15"/>
        <v>0</v>
      </c>
      <c r="G138" s="145">
        <f t="shared" si="17"/>
        <v>0</v>
      </c>
      <c r="H138" s="22"/>
      <c r="I138" s="91"/>
      <c r="J138" s="101">
        <f t="shared" si="13"/>
        <v>0</v>
      </c>
      <c r="K138" s="102">
        <f t="shared" si="16"/>
        <v>0</v>
      </c>
      <c r="L138" s="31">
        <f t="shared" si="18"/>
        <v>0</v>
      </c>
      <c r="M138" s="71"/>
      <c r="N138" s="22"/>
    </row>
    <row r="139" spans="2:14" ht="9.75">
      <c r="B139" s="16"/>
      <c r="C139" s="69">
        <f t="shared" si="19"/>
        <v>0</v>
      </c>
      <c r="D139" s="2"/>
      <c r="E139" s="29">
        <f t="shared" si="14"/>
        <v>0</v>
      </c>
      <c r="F139" s="52">
        <f t="shared" si="15"/>
        <v>0</v>
      </c>
      <c r="G139" s="145">
        <f t="shared" si="17"/>
        <v>0</v>
      </c>
      <c r="H139" s="22"/>
      <c r="I139" s="91"/>
      <c r="J139" s="101">
        <f t="shared" si="13"/>
        <v>0</v>
      </c>
      <c r="K139" s="102">
        <f t="shared" si="16"/>
        <v>0</v>
      </c>
      <c r="L139" s="31">
        <f t="shared" si="18"/>
        <v>0</v>
      </c>
      <c r="M139" s="71"/>
      <c r="N139" s="22"/>
    </row>
    <row r="140" spans="2:14" ht="9.75">
      <c r="B140" s="16"/>
      <c r="C140" s="69">
        <f t="shared" si="19"/>
        <v>0</v>
      </c>
      <c r="D140" s="2"/>
      <c r="E140" s="29">
        <f t="shared" si="14"/>
        <v>0</v>
      </c>
      <c r="F140" s="52">
        <f t="shared" si="15"/>
        <v>0</v>
      </c>
      <c r="G140" s="145">
        <f t="shared" si="17"/>
        <v>0</v>
      </c>
      <c r="H140" s="22"/>
      <c r="I140" s="91"/>
      <c r="J140" s="101">
        <f t="shared" si="13"/>
        <v>0</v>
      </c>
      <c r="K140" s="102">
        <f t="shared" si="16"/>
        <v>0</v>
      </c>
      <c r="L140" s="31">
        <f t="shared" si="18"/>
        <v>0</v>
      </c>
      <c r="M140" s="71"/>
      <c r="N140" s="22"/>
    </row>
    <row r="141" spans="2:14" ht="9.75">
      <c r="B141" s="16"/>
      <c r="C141" s="69">
        <f t="shared" si="19"/>
        <v>0</v>
      </c>
      <c r="D141" s="2"/>
      <c r="E141" s="29">
        <f t="shared" si="14"/>
        <v>0</v>
      </c>
      <c r="F141" s="52">
        <f t="shared" si="15"/>
        <v>0</v>
      </c>
      <c r="G141" s="145">
        <f t="shared" si="17"/>
        <v>0</v>
      </c>
      <c r="H141" s="22"/>
      <c r="I141" s="91"/>
      <c r="J141" s="101">
        <f t="shared" si="13"/>
        <v>0</v>
      </c>
      <c r="K141" s="102">
        <f t="shared" si="16"/>
        <v>0</v>
      </c>
      <c r="L141" s="31">
        <f t="shared" si="18"/>
        <v>0</v>
      </c>
      <c r="M141" s="71"/>
      <c r="N141" s="22"/>
    </row>
    <row r="142" spans="2:14" ht="9.75">
      <c r="B142" s="16"/>
      <c r="C142" s="69">
        <f t="shared" si="19"/>
        <v>0</v>
      </c>
      <c r="D142" s="2"/>
      <c r="E142" s="29">
        <f t="shared" si="14"/>
        <v>0</v>
      </c>
      <c r="F142" s="52">
        <f t="shared" si="15"/>
        <v>0</v>
      </c>
      <c r="G142" s="145">
        <f t="shared" si="17"/>
        <v>0</v>
      </c>
      <c r="H142" s="22"/>
      <c r="I142" s="91"/>
      <c r="J142" s="101">
        <f t="shared" si="13"/>
        <v>0</v>
      </c>
      <c r="K142" s="102">
        <f t="shared" si="16"/>
        <v>0</v>
      </c>
      <c r="L142" s="31">
        <f t="shared" si="18"/>
        <v>0</v>
      </c>
      <c r="M142" s="71"/>
      <c r="N142" s="22"/>
    </row>
    <row r="143" spans="2:14" ht="9.75">
      <c r="B143" s="16"/>
      <c r="C143" s="69">
        <f t="shared" si="19"/>
        <v>0</v>
      </c>
      <c r="D143" s="2"/>
      <c r="E143" s="29">
        <f t="shared" si="14"/>
        <v>0</v>
      </c>
      <c r="F143" s="52">
        <f t="shared" si="15"/>
        <v>0</v>
      </c>
      <c r="G143" s="145">
        <f t="shared" si="17"/>
        <v>0</v>
      </c>
      <c r="H143" s="22"/>
      <c r="I143" s="91"/>
      <c r="J143" s="101">
        <f t="shared" si="13"/>
        <v>0</v>
      </c>
      <c r="K143" s="102">
        <f t="shared" si="16"/>
        <v>0</v>
      </c>
      <c r="L143" s="31">
        <f t="shared" si="18"/>
        <v>0</v>
      </c>
      <c r="M143" s="71"/>
      <c r="N143" s="22"/>
    </row>
    <row r="144" spans="2:14" ht="9.75">
      <c r="B144" s="16"/>
      <c r="C144" s="69">
        <f t="shared" si="19"/>
        <v>0</v>
      </c>
      <c r="D144" s="2"/>
      <c r="E144" s="29">
        <f t="shared" si="14"/>
        <v>0</v>
      </c>
      <c r="F144" s="52">
        <f t="shared" si="15"/>
        <v>0</v>
      </c>
      <c r="G144" s="145">
        <f t="shared" si="17"/>
        <v>0</v>
      </c>
      <c r="H144" s="22"/>
      <c r="I144" s="91"/>
      <c r="J144" s="101">
        <f t="shared" si="13"/>
        <v>0</v>
      </c>
      <c r="K144" s="102">
        <f t="shared" si="16"/>
        <v>0</v>
      </c>
      <c r="L144" s="31">
        <f t="shared" si="18"/>
        <v>0</v>
      </c>
      <c r="M144" s="71"/>
      <c r="N144" s="22"/>
    </row>
    <row r="145" spans="2:13" ht="10.5" thickBot="1">
      <c r="B145" s="72"/>
      <c r="C145" s="73"/>
      <c r="D145" s="73"/>
      <c r="E145" s="73"/>
      <c r="F145" s="73"/>
      <c r="G145" s="73"/>
      <c r="H145" s="73"/>
      <c r="I145" s="105"/>
      <c r="J145" s="73"/>
      <c r="K145" s="73"/>
      <c r="L145" s="73"/>
      <c r="M145" s="74"/>
    </row>
    <row r="146" ht="10.5" thickTop="1"/>
  </sheetData>
  <sheetProtection password="CAD7" sheet="1" objects="1" scenarios="1" formatCells="0" formatColumns="0" formatRows="0"/>
  <mergeCells count="14">
    <mergeCell ref="C22:C35"/>
    <mergeCell ref="C39:C53"/>
    <mergeCell ref="C57:C60"/>
    <mergeCell ref="D60:E60"/>
    <mergeCell ref="D59:E59"/>
    <mergeCell ref="D58:E58"/>
    <mergeCell ref="D57:E57"/>
    <mergeCell ref="B2:M2"/>
    <mergeCell ref="J7:L8"/>
    <mergeCell ref="J10:L11"/>
    <mergeCell ref="J5:L5"/>
    <mergeCell ref="J6:L6"/>
    <mergeCell ref="D4:D18"/>
    <mergeCell ref="F4:G4"/>
  </mergeCells>
  <conditionalFormatting sqref="D65:D144">
    <cfRule type="expression" priority="1" dxfId="15" stopIfTrue="1">
      <formula>IF(C65&lt;&gt;0,1,0)</formula>
    </cfRule>
  </conditionalFormatting>
  <conditionalFormatting sqref="G35 F41 G46:G49 G24:G25 L58:L60 G57:G60 G43:G44 S30 G64:G144 G54:G55 L55 L19:L21 L23 L25:L27 L49 L51:L53 L46:L47 L31:L34 L64:L144 L36 L38:L41">
    <cfRule type="cellIs" priority="2" dxfId="5" operator="equal" stopIfTrue="1">
      <formula>0</formula>
    </cfRule>
  </conditionalFormatting>
  <conditionalFormatting sqref="G50 G52:G53 G32:G34 K44 J64:K144 K23 F44:F55 F57:F60 K58:K60 K25:K27 L18 K19:K21 F13:F15 F26:F35 E64:F144 C64:C144 F17:F18">
    <cfRule type="cellIs" priority="3" dxfId="1" operator="equal" stopIfTrue="1">
      <formula>0</formula>
    </cfRule>
  </conditionalFormatting>
  <conditionalFormatting sqref="K24:L24 L37">
    <cfRule type="cellIs" priority="4" dxfId="3" operator="equal" stopIfTrue="1">
      <formula>0</formula>
    </cfRule>
  </conditionalFormatting>
  <conditionalFormatting sqref="F16">
    <cfRule type="expression" priority="5" dxfId="1" stopIfTrue="1">
      <formula>$F$10=0</formula>
    </cfRule>
  </conditionalFormatting>
  <conditionalFormatting sqref="K16:L16 K29:L29">
    <cfRule type="cellIs" priority="6" dxfId="35" operator="equal" stopIfTrue="1">
      <formula>0</formula>
    </cfRule>
  </conditionalFormatting>
  <conditionalFormatting sqref="K30:L30 J29:J41 J46 J50">
    <cfRule type="cellIs" priority="7" dxfId="34" operator="equal" stopIfTrue="1">
      <formula>0</formula>
    </cfRule>
  </conditionalFormatting>
  <printOptions horizontalCentered="1" verticalCentered="1"/>
  <pageMargins left="0.393700787401575" right="0.393700787401575" top="0.984251968503937" bottom="0.984251968503937" header="0.511811023622047" footer="0.511811023622047"/>
  <pageSetup fitToHeight="1" fitToWidth="1" horizontalDpi="360" verticalDpi="360" orientation="portrait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T145"/>
  <sheetViews>
    <sheetView showGridLines="0" zoomScale="80" zoomScaleNormal="80" zoomScalePageLayoutView="0" workbookViewId="0" topLeftCell="A1">
      <selection activeCell="F4" sqref="F4:G4"/>
    </sheetView>
  </sheetViews>
  <sheetFormatPr defaultColWidth="9.140625" defaultRowHeight="12.75"/>
  <cols>
    <col min="1" max="1" width="2.421875" style="15" customWidth="1"/>
    <col min="2" max="2" width="2.7109375" style="15" bestFit="1" customWidth="1"/>
    <col min="3" max="3" width="12.140625" style="15" customWidth="1"/>
    <col min="4" max="4" width="11.00390625" style="15" customWidth="1"/>
    <col min="5" max="5" width="28.8515625" style="15" bestFit="1" customWidth="1"/>
    <col min="6" max="6" width="13.00390625" style="15" customWidth="1"/>
    <col min="7" max="7" width="9.7109375" style="15" customWidth="1"/>
    <col min="8" max="9" width="1.7109375" style="15" customWidth="1"/>
    <col min="10" max="10" width="30.00390625" style="15" bestFit="1" customWidth="1"/>
    <col min="11" max="11" width="12.8515625" style="15" bestFit="1" customWidth="1"/>
    <col min="12" max="12" width="11.00390625" style="15" bestFit="1" customWidth="1"/>
    <col min="13" max="13" width="1.7109375" style="15" customWidth="1"/>
    <col min="14" max="14" width="3.140625" style="15" customWidth="1"/>
    <col min="15" max="15" width="13.421875" style="15" customWidth="1"/>
    <col min="16" max="16" width="11.421875" style="15" bestFit="1" customWidth="1"/>
    <col min="17" max="17" width="10.28125" style="15" customWidth="1"/>
    <col min="18" max="16384" width="9.140625" style="15" customWidth="1"/>
  </cols>
  <sheetData>
    <row r="1" ht="12" thickBot="1">
      <c r="O1" s="147"/>
    </row>
    <row r="2" spans="2:15" ht="14.25" thickBot="1" thickTop="1">
      <c r="B2" s="450" t="s">
        <v>107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2"/>
      <c r="O2" s="147"/>
    </row>
    <row r="3" spans="2:15" ht="12" thickTop="1">
      <c r="B3" s="12"/>
      <c r="C3" s="13"/>
      <c r="D3" s="13"/>
      <c r="E3" s="13"/>
      <c r="F3" s="13"/>
      <c r="G3" s="13"/>
      <c r="H3" s="13"/>
      <c r="I3" s="75"/>
      <c r="J3" s="13"/>
      <c r="K3" s="13"/>
      <c r="L3" s="13"/>
      <c r="M3" s="14"/>
      <c r="N3" s="20"/>
      <c r="O3" s="147"/>
    </row>
    <row r="4" spans="2:15" ht="12" customHeight="1" thickBot="1">
      <c r="B4" s="16"/>
      <c r="C4" s="17"/>
      <c r="D4" s="447" t="s">
        <v>26</v>
      </c>
      <c r="E4" s="389" t="s">
        <v>139</v>
      </c>
      <c r="F4" s="465"/>
      <c r="G4" s="466"/>
      <c r="H4" s="20"/>
      <c r="I4" s="39"/>
      <c r="M4" s="21"/>
      <c r="N4" s="20"/>
      <c r="O4" s="147"/>
    </row>
    <row r="5" spans="2:16" ht="12" customHeight="1" thickTop="1">
      <c r="B5" s="16"/>
      <c r="C5" s="17"/>
      <c r="D5" s="445"/>
      <c r="E5" s="389" t="s">
        <v>36</v>
      </c>
      <c r="F5" s="5"/>
      <c r="G5" s="20"/>
      <c r="H5" s="20"/>
      <c r="I5" s="39"/>
      <c r="J5" s="459" t="s">
        <v>19</v>
      </c>
      <c r="K5" s="460"/>
      <c r="L5" s="461"/>
      <c r="M5" s="21"/>
      <c r="N5" s="20"/>
      <c r="O5" s="147" t="s">
        <v>95</v>
      </c>
      <c r="P5" s="147" t="s">
        <v>95</v>
      </c>
    </row>
    <row r="6" spans="2:16" ht="12" customHeight="1">
      <c r="B6" s="16"/>
      <c r="C6" s="17"/>
      <c r="D6" s="445"/>
      <c r="E6" s="423"/>
      <c r="F6" s="211"/>
      <c r="G6" s="20"/>
      <c r="H6" s="20"/>
      <c r="I6" s="39"/>
      <c r="J6" s="462" t="s">
        <v>20</v>
      </c>
      <c r="K6" s="463"/>
      <c r="L6" s="464"/>
      <c r="M6" s="21"/>
      <c r="N6" s="20"/>
      <c r="O6" s="147" t="s">
        <v>54</v>
      </c>
      <c r="P6" s="147" t="s">
        <v>42</v>
      </c>
    </row>
    <row r="7" spans="2:15" ht="12" customHeight="1">
      <c r="B7" s="16"/>
      <c r="C7" s="17"/>
      <c r="D7" s="445"/>
      <c r="E7" s="424" t="s">
        <v>67</v>
      </c>
      <c r="F7" s="4"/>
      <c r="G7" s="20"/>
      <c r="H7" s="20"/>
      <c r="I7" s="39"/>
      <c r="J7" s="453" t="str">
        <f>IF(F5="","Scrivere il codice Isin nella cella F5",HYPERLINK(O8,"Vai al Regolamento del Titolo"))</f>
        <v>Scrivere il codice Isin nella cella F5</v>
      </c>
      <c r="K7" s="454"/>
      <c r="L7" s="455"/>
      <c r="M7" s="21"/>
      <c r="N7" s="20"/>
      <c r="O7" s="147" t="s">
        <v>116</v>
      </c>
    </row>
    <row r="8" spans="2:15" ht="12" customHeight="1" thickBot="1">
      <c r="B8" s="16"/>
      <c r="C8" s="20"/>
      <c r="D8" s="445"/>
      <c r="E8" s="424" t="s">
        <v>68</v>
      </c>
      <c r="F8" s="116"/>
      <c r="G8" s="20"/>
      <c r="H8" s="20"/>
      <c r="I8" s="39"/>
      <c r="J8" s="456"/>
      <c r="K8" s="457"/>
      <c r="L8" s="458"/>
      <c r="M8" s="21"/>
      <c r="N8" s="20"/>
      <c r="O8" s="147" t="str">
        <f>CONCATENATE(O7,F5,"&amp;market=MOT&amp;lang=it")</f>
        <v>http://www.borsaitaliana.it/bitApp/caratteristiche.bit?target=Download&amp;isin=&amp;market=MOT&amp;lang=it</v>
      </c>
    </row>
    <row r="9" spans="2:15" ht="12" customHeight="1" thickTop="1">
      <c r="B9" s="16"/>
      <c r="C9" s="23"/>
      <c r="D9" s="445"/>
      <c r="E9" s="424" t="s">
        <v>46</v>
      </c>
      <c r="F9" s="4"/>
      <c r="G9" s="23"/>
      <c r="H9" s="20"/>
      <c r="I9" s="39"/>
      <c r="J9" s="16"/>
      <c r="K9" s="20"/>
      <c r="L9" s="21"/>
      <c r="M9" s="21"/>
      <c r="N9" s="20"/>
      <c r="O9" s="147"/>
    </row>
    <row r="10" spans="2:15" ht="12" customHeight="1">
      <c r="B10" s="16"/>
      <c r="C10" s="23"/>
      <c r="D10" s="445"/>
      <c r="E10" s="425" t="s">
        <v>12</v>
      </c>
      <c r="F10" s="116"/>
      <c r="G10" s="23"/>
      <c r="H10" s="20"/>
      <c r="I10" s="39"/>
      <c r="J10" s="453" t="str">
        <f>IF(F5="","Scrivere il Codice Isin nella Cella F5",HYPERLINK(O11,"Vai al Display del Titolo con la sua quotazione"))</f>
        <v>Scrivere il Codice Isin nella Cella F5</v>
      </c>
      <c r="K10" s="454"/>
      <c r="L10" s="455"/>
      <c r="M10" s="21"/>
      <c r="N10" s="20"/>
      <c r="O10" s="147" t="s">
        <v>97</v>
      </c>
    </row>
    <row r="11" spans="2:20" ht="12" customHeight="1" thickBot="1">
      <c r="B11" s="16"/>
      <c r="C11" s="337" t="s">
        <v>90</v>
      </c>
      <c r="D11" s="445"/>
      <c r="E11" s="425" t="s">
        <v>111</v>
      </c>
      <c r="F11" s="5"/>
      <c r="G11" s="23"/>
      <c r="H11" s="20"/>
      <c r="I11" s="39"/>
      <c r="J11" s="456"/>
      <c r="K11" s="457"/>
      <c r="L11" s="458"/>
      <c r="M11" s="21"/>
      <c r="N11" s="20"/>
      <c r="O11" s="147" t="str">
        <f>CONCATENATE(O10,F5,"&amp;market=MOT&amp;lang=it")</f>
        <v>http://www.borsaitaliana.it/borsa/quotazioni/obbligazioni/obbligazioni-in-euro/dati-completi.html?isin=&amp;market=MOT&amp;lang=it</v>
      </c>
      <c r="P11" s="20"/>
      <c r="Q11" s="20"/>
      <c r="R11" s="20"/>
      <c r="S11" s="20"/>
      <c r="T11" s="20"/>
    </row>
    <row r="12" spans="2:20" ht="24.75" customHeight="1" thickTop="1">
      <c r="B12" s="16"/>
      <c r="C12" s="329">
        <v>0.125</v>
      </c>
      <c r="D12" s="445"/>
      <c r="E12" s="426" t="s">
        <v>55</v>
      </c>
      <c r="F12" s="7"/>
      <c r="G12" s="23"/>
      <c r="H12" s="20"/>
      <c r="I12" s="39"/>
      <c r="J12" s="20"/>
      <c r="K12" s="20"/>
      <c r="L12" s="20"/>
      <c r="M12" s="21"/>
      <c r="N12" s="20"/>
      <c r="P12" s="20"/>
      <c r="Q12" s="20"/>
      <c r="R12" s="20"/>
      <c r="S12" s="20"/>
      <c r="T12" s="20"/>
    </row>
    <row r="13" spans="2:20" ht="12" customHeight="1">
      <c r="B13" s="16"/>
      <c r="C13" s="23"/>
      <c r="D13" s="445"/>
      <c r="E13" s="425" t="s">
        <v>130</v>
      </c>
      <c r="F13" s="101">
        <f>IF(F7=0,0,IF(AND(F7&lt;G13,F6=1),G13,F7))</f>
        <v>0</v>
      </c>
      <c r="G13" s="262">
        <v>35431</v>
      </c>
      <c r="H13" s="20"/>
      <c r="I13" s="39"/>
      <c r="J13" s="385" t="s">
        <v>113</v>
      </c>
      <c r="K13" s="386"/>
      <c r="L13" s="20"/>
      <c r="M13" s="21"/>
      <c r="N13" s="20"/>
      <c r="P13" s="20"/>
      <c r="Q13" s="20"/>
      <c r="R13" s="20"/>
      <c r="S13" s="20"/>
      <c r="T13" s="20"/>
    </row>
    <row r="14" spans="2:20" ht="12" customHeight="1">
      <c r="B14" s="16"/>
      <c r="C14" s="23"/>
      <c r="D14" s="445"/>
      <c r="E14" s="443" t="s">
        <v>77</v>
      </c>
      <c r="F14" s="263">
        <f>IF(F8=0,0,IF(AND($F$6=1,F7&lt;G13),$F$8*(1+$F$18)^(YEARFRAC(F13,$F$7,F19-1)),IF(AND(F6=2,F7&lt;G13),F8+(F13-F7)*(F10-F8)/(F9-F7),$F$8)))</f>
        <v>0</v>
      </c>
      <c r="G14" s="262"/>
      <c r="H14" s="20"/>
      <c r="I14" s="39"/>
      <c r="J14" s="387" t="s">
        <v>114</v>
      </c>
      <c r="K14" s="386"/>
      <c r="L14" s="20"/>
      <c r="M14" s="21"/>
      <c r="N14" s="20"/>
      <c r="P14" s="20"/>
      <c r="Q14" s="20"/>
      <c r="R14" s="20"/>
      <c r="S14" s="20"/>
      <c r="T14" s="20"/>
    </row>
    <row r="15" spans="2:20" ht="12" customHeight="1">
      <c r="B15" s="16"/>
      <c r="C15" s="23"/>
      <c r="D15" s="445"/>
      <c r="E15" s="425" t="s">
        <v>76</v>
      </c>
      <c r="F15" s="137">
        <f>IF(F10=0,0,(F10-F14))</f>
        <v>0</v>
      </c>
      <c r="G15" s="23"/>
      <c r="H15" s="20"/>
      <c r="I15" s="39"/>
      <c r="M15" s="21"/>
      <c r="N15" s="20"/>
      <c r="P15" s="20"/>
      <c r="Q15" s="20"/>
      <c r="R15" s="20"/>
      <c r="S15" s="20"/>
      <c r="T15" s="20"/>
    </row>
    <row r="16" spans="2:20" ht="12" customHeight="1">
      <c r="B16" s="16"/>
      <c r="C16" s="201" t="s">
        <v>59</v>
      </c>
      <c r="D16" s="445"/>
      <c r="E16" s="427" t="s">
        <v>34</v>
      </c>
      <c r="F16" s="125">
        <f>IF(F6=3,100,IF(OR(F7=0,F14=0),100,IF(F14&gt;F10,F10,F10-C12*F15)))</f>
        <v>100</v>
      </c>
      <c r="G16" s="23"/>
      <c r="H16" s="20"/>
      <c r="I16" s="39"/>
      <c r="J16" s="411" t="s">
        <v>15</v>
      </c>
      <c r="K16" s="11">
        <f>IF(F22=0,0,"Cambio 1 Euro=")</f>
        <v>0</v>
      </c>
      <c r="L16" s="365">
        <f>IF(F22=0,0,F22)</f>
        <v>0</v>
      </c>
      <c r="M16" s="21"/>
      <c r="N16" s="20"/>
      <c r="P16" s="203"/>
      <c r="Q16" s="20"/>
      <c r="R16" s="20"/>
      <c r="S16" s="20"/>
      <c r="T16" s="20"/>
    </row>
    <row r="17" spans="2:20" ht="12" customHeight="1">
      <c r="B17" s="16"/>
      <c r="C17" s="201" t="s">
        <v>60</v>
      </c>
      <c r="D17" s="445"/>
      <c r="E17" s="428" t="s">
        <v>37</v>
      </c>
      <c r="F17" s="52">
        <f>IF(OR(F7=0,F9=0),0,YEARFRAC(F9,F7,F20-1))</f>
        <v>0</v>
      </c>
      <c r="G17" s="24"/>
      <c r="H17" s="46"/>
      <c r="I17" s="76"/>
      <c r="J17" s="412" t="s">
        <v>16</v>
      </c>
      <c r="K17" s="25" t="s">
        <v>141</v>
      </c>
      <c r="L17" s="25" t="s">
        <v>142</v>
      </c>
      <c r="M17" s="77"/>
      <c r="N17" s="46"/>
      <c r="P17" s="203"/>
      <c r="Q17" s="20"/>
      <c r="R17" s="20"/>
      <c r="S17" s="20"/>
      <c r="T17" s="20"/>
    </row>
    <row r="18" spans="2:20" ht="12" customHeight="1" thickBot="1">
      <c r="B18" s="16"/>
      <c r="C18" s="201" t="s">
        <v>61</v>
      </c>
      <c r="D18" s="446"/>
      <c r="E18" s="428" t="s">
        <v>38</v>
      </c>
      <c r="F18" s="29">
        <f>IF(OR(F7=0,F8=0,F9=0,F10=0),0,IF(OR(F6=1,F6=3),POWER(10,LOG10(F10/F8)/F17)-1,""))</f>
        <v>0</v>
      </c>
      <c r="H18" s="46"/>
      <c r="I18" s="76"/>
      <c r="J18" s="413" t="s">
        <v>140</v>
      </c>
      <c r="K18" s="9"/>
      <c r="L18" s="102">
        <f>IF(F22=0,0,K18/L16)</f>
        <v>0</v>
      </c>
      <c r="M18" s="77"/>
      <c r="N18" s="46"/>
      <c r="O18" s="367"/>
      <c r="P18" s="20"/>
      <c r="Q18" s="20"/>
      <c r="R18" s="20"/>
      <c r="S18" s="20"/>
      <c r="T18" s="20"/>
    </row>
    <row r="19" spans="2:20" ht="21.75" customHeight="1" thickTop="1">
      <c r="B19" s="16"/>
      <c r="C19" s="202" t="s">
        <v>62</v>
      </c>
      <c r="D19" s="332"/>
      <c r="E19" s="327" t="s">
        <v>89</v>
      </c>
      <c r="F19" s="8">
        <v>4</v>
      </c>
      <c r="H19" s="46"/>
      <c r="I19" s="76"/>
      <c r="J19" s="413" t="s">
        <v>75</v>
      </c>
      <c r="K19" s="30">
        <f>K18*F24/100</f>
        <v>0</v>
      </c>
      <c r="L19" s="31">
        <f>IF(F22=0,0,K19/L16)</f>
        <v>0</v>
      </c>
      <c r="M19" s="46"/>
      <c r="N19" s="477" t="s">
        <v>108</v>
      </c>
      <c r="O19" s="478"/>
      <c r="P19" s="479"/>
      <c r="Q19" s="20"/>
      <c r="R19" s="20"/>
      <c r="S19" s="20"/>
      <c r="T19" s="20"/>
    </row>
    <row r="20" spans="2:20" ht="21.75" customHeight="1">
      <c r="B20" s="16"/>
      <c r="C20" s="147"/>
      <c r="D20" s="18"/>
      <c r="E20" s="65" t="s">
        <v>91</v>
      </c>
      <c r="F20" s="8">
        <v>3</v>
      </c>
      <c r="H20" s="32"/>
      <c r="I20" s="81"/>
      <c r="J20" s="413" t="s">
        <v>14</v>
      </c>
      <c r="K20" s="158">
        <f>K18*F27/100</f>
        <v>0</v>
      </c>
      <c r="L20" s="31">
        <f>IF(F22=0,0,K20/L16)</f>
        <v>0</v>
      </c>
      <c r="M20" s="32"/>
      <c r="N20" s="371" t="s">
        <v>44</v>
      </c>
      <c r="O20" s="368" t="s">
        <v>137</v>
      </c>
      <c r="P20" s="378" t="s">
        <v>43</v>
      </c>
      <c r="Q20" s="20"/>
      <c r="R20" s="20"/>
      <c r="S20" s="20"/>
      <c r="T20" s="20"/>
    </row>
    <row r="21" spans="1:20" ht="12.75">
      <c r="A21" s="147">
        <f>IF($E$25=1,$F$25*$K$18/100,$K$19*$F$25/100)</f>
        <v>0</v>
      </c>
      <c r="B21" s="16"/>
      <c r="C21" s="156"/>
      <c r="H21" s="32"/>
      <c r="I21" s="81"/>
      <c r="J21" s="413" t="s">
        <v>143</v>
      </c>
      <c r="K21" s="52">
        <f>IF(F22&lt;&gt;0,L21*F22,IF(AND($K$13=0,$K$14=0),$A$21,IF(AND($K$13=0,$K$14=0),A21,IF(AND($K$13&lt;&gt;"",$K$14=0),MAX($K$13,A21),IF(AND($K$13=0,$K$14&lt;&gt;0),MIN($K$14,A21),IF(A21&lt;$K$13,$K$13,IF(A21&gt;$K$14,$K$14,A21)))))))</f>
        <v>0</v>
      </c>
      <c r="L21" s="31">
        <f>IF(F22&lt;&gt;0,IF(AND($K$13=0,$K$14=0),A21/F22,IF(AND($K$13&lt;&gt;0,$K$14=0),MAX($K$13,A21/F22),IF(AND($K$13=0,$K$14&lt;&gt;0),MIN($K$14,A21/F22),IF(A21/F22&lt;$K$13,$K$13,IF(A21/F22&gt;$K$14,$K$14,A21/F22))))),0)</f>
        <v>0</v>
      </c>
      <c r="M21" s="32"/>
      <c r="N21" s="370">
        <v>1</v>
      </c>
      <c r="O21" s="369">
        <f>IF(OR(F9=0,F23=0),"",C65)</f>
      </c>
      <c r="P21" s="381"/>
      <c r="Q21" s="383"/>
      <c r="R21" s="20"/>
      <c r="S21" s="20"/>
      <c r="T21" s="318"/>
    </row>
    <row r="22" spans="2:20" ht="12.75">
      <c r="B22" s="16"/>
      <c r="C22" s="467" t="s">
        <v>105</v>
      </c>
      <c r="D22" s="178"/>
      <c r="E22" s="121" t="s">
        <v>135</v>
      </c>
      <c r="F22" s="3"/>
      <c r="H22" s="32"/>
      <c r="I22" s="81"/>
      <c r="J22" s="413" t="s">
        <v>4</v>
      </c>
      <c r="K22" s="10"/>
      <c r="L22" s="348"/>
      <c r="M22" s="32"/>
      <c r="N22" s="370">
        <v>2</v>
      </c>
      <c r="O22" s="369">
        <f aca="true" t="shared" si="0" ref="O22:O60">IF(OR(O21=$F$9,$F$50&gt;$F$9,O21=""),"",COUPNCD(O21,$F$9,$F$11,$F$19-1))</f>
      </c>
      <c r="P22" s="381"/>
      <c r="Q22" s="383"/>
      <c r="R22" s="20"/>
      <c r="S22" s="20"/>
      <c r="T22" s="20"/>
    </row>
    <row r="23" spans="2:20" ht="12.75">
      <c r="B23" s="16"/>
      <c r="C23" s="468"/>
      <c r="D23" s="393" t="s">
        <v>101</v>
      </c>
      <c r="E23" s="48"/>
      <c r="F23" s="4"/>
      <c r="G23" s="81"/>
      <c r="H23" s="32"/>
      <c r="I23" s="81"/>
      <c r="J23" s="413" t="str">
        <f>IF(OR(F6=1,F6=3),"","Rateo Lordo")</f>
        <v>Rateo Lordo</v>
      </c>
      <c r="K23" s="30">
        <f>IF(K18=0,0,F33*K18/100)</f>
        <v>0</v>
      </c>
      <c r="L23" s="31">
        <f>IF(F22=0,0,K23/L16)</f>
        <v>0</v>
      </c>
      <c r="M23" s="32"/>
      <c r="N23" s="370">
        <v>3</v>
      </c>
      <c r="O23" s="369">
        <f t="shared" si="0"/>
      </c>
      <c r="P23" s="381"/>
      <c r="Q23" s="383"/>
      <c r="R23" s="372"/>
      <c r="S23" s="372"/>
      <c r="T23" s="20"/>
    </row>
    <row r="24" spans="2:20" ht="12.75">
      <c r="B24" s="16"/>
      <c r="C24" s="468"/>
      <c r="D24" s="394" t="s">
        <v>7</v>
      </c>
      <c r="E24" s="114"/>
      <c r="F24" s="116"/>
      <c r="G24" s="84"/>
      <c r="H24" s="32"/>
      <c r="I24" s="81"/>
      <c r="J24" s="413" t="s">
        <v>3</v>
      </c>
      <c r="K24" s="164">
        <f>IF($K$18=0,0,(K19-K20+K21+K22)/$K$18*100)</f>
        <v>0</v>
      </c>
      <c r="L24" s="293">
        <f>IF($L$18=0,0,IF($F$6=3,(L19+L21+L22)/$L$18*100-$F$26+$F$8,(L19-L20+L21+L22)/$L$18*100))</f>
        <v>0</v>
      </c>
      <c r="M24" s="32"/>
      <c r="N24" s="370">
        <v>4</v>
      </c>
      <c r="O24" s="369">
        <f t="shared" si="0"/>
      </c>
      <c r="P24" s="381"/>
      <c r="Q24" s="383"/>
      <c r="R24" s="372"/>
      <c r="S24" s="372"/>
      <c r="T24" s="20"/>
    </row>
    <row r="25" spans="2:20" ht="19.5" customHeight="1">
      <c r="B25" s="16"/>
      <c r="C25" s="468"/>
      <c r="D25" s="394" t="str">
        <f>IF(F6=4,"Commissioni % sul   NOMINALE","Commissioni % sul prezzo di acquisto")</f>
        <v>Commissioni % sul prezzo di acquisto</v>
      </c>
      <c r="E25" s="338">
        <v>2</v>
      </c>
      <c r="F25" s="106"/>
      <c r="G25" s="84"/>
      <c r="H25" s="32"/>
      <c r="I25" s="81"/>
      <c r="J25" s="413" t="s">
        <v>21</v>
      </c>
      <c r="K25" s="30">
        <f>-K20*C12</f>
        <v>0</v>
      </c>
      <c r="L25" s="31">
        <f>IF(F22=0,0,K25/L16)</f>
        <v>0</v>
      </c>
      <c r="M25" s="32"/>
      <c r="N25" s="370">
        <v>5</v>
      </c>
      <c r="O25" s="369">
        <f t="shared" si="0"/>
      </c>
      <c r="P25" s="381"/>
      <c r="Q25" s="383"/>
      <c r="R25" s="372"/>
      <c r="S25" s="372"/>
      <c r="T25" s="20"/>
    </row>
    <row r="26" spans="2:20" ht="12.75">
      <c r="B26" s="16"/>
      <c r="C26" s="468"/>
      <c r="D26" s="395" t="s">
        <v>39</v>
      </c>
      <c r="E26" s="110"/>
      <c r="F26" s="53">
        <f>IF(F23=0,0,$F$15/YEARFRAC(F13,F9,F20-1)*YEARFRAC(F13,F23,F20-1)+$F$14)</f>
        <v>0</v>
      </c>
      <c r="H26" s="32"/>
      <c r="I26" s="81"/>
      <c r="J26" s="413" t="str">
        <f>IF(OR(F6=1,F6=3),"","Imposta sul rateo")</f>
        <v>Imposta sul rateo</v>
      </c>
      <c r="K26" s="30">
        <f>-K23*C12</f>
        <v>0</v>
      </c>
      <c r="L26" s="31">
        <f>IF(F22=0,0,K26/L16)</f>
        <v>0</v>
      </c>
      <c r="M26" s="32"/>
      <c r="N26" s="370">
        <v>6</v>
      </c>
      <c r="O26" s="369">
        <f t="shared" si="0"/>
      </c>
      <c r="P26" s="381"/>
      <c r="Q26" s="383"/>
      <c r="R26" s="372"/>
      <c r="S26" s="372"/>
      <c r="T26" s="20"/>
    </row>
    <row r="27" spans="2:20" ht="12.75">
      <c r="B27" s="16"/>
      <c r="C27" s="468"/>
      <c r="D27" s="394" t="s">
        <v>14</v>
      </c>
      <c r="E27" s="114"/>
      <c r="F27" s="123">
        <f>IF(OR($F$8=0,$F$7=0,F23=0,F24=0,$F$14&gt;$F$10),0,F26-$F$14)</f>
        <v>0</v>
      </c>
      <c r="G27" s="320"/>
      <c r="H27" s="46"/>
      <c r="I27" s="76"/>
      <c r="J27" s="410" t="s">
        <v>144</v>
      </c>
      <c r="K27" s="35">
        <f>K19+K21+K22+K23+K25+K26</f>
        <v>0</v>
      </c>
      <c r="L27" s="80">
        <f>IF($F$22=0,0,K27/$F$22+L22)</f>
        <v>0</v>
      </c>
      <c r="M27" s="46"/>
      <c r="N27" s="370">
        <v>7</v>
      </c>
      <c r="O27" s="369">
        <f t="shared" si="0"/>
      </c>
      <c r="P27" s="381"/>
      <c r="Q27" s="383"/>
      <c r="R27" s="372"/>
      <c r="S27" s="372"/>
      <c r="T27" s="20"/>
    </row>
    <row r="28" spans="2:20" ht="12.75">
      <c r="B28" s="16"/>
      <c r="C28" s="468"/>
      <c r="D28" s="396" t="s">
        <v>74</v>
      </c>
      <c r="E28" s="120"/>
      <c r="F28" s="130">
        <f>F24-F27</f>
        <v>0</v>
      </c>
      <c r="G28" s="126"/>
      <c r="H28" s="46"/>
      <c r="I28" s="76"/>
      <c r="J28" s="438"/>
      <c r="K28" s="295"/>
      <c r="L28" s="177"/>
      <c r="M28" s="46"/>
      <c r="N28" s="370">
        <v>8</v>
      </c>
      <c r="O28" s="369">
        <f t="shared" si="0"/>
      </c>
      <c r="P28" s="381"/>
      <c r="Q28" s="383"/>
      <c r="R28" s="372"/>
      <c r="S28" s="372"/>
      <c r="T28" s="20"/>
    </row>
    <row r="29" spans="2:20" ht="12.75">
      <c r="B29" s="16"/>
      <c r="C29" s="468"/>
      <c r="D29" s="396" t="s">
        <v>21</v>
      </c>
      <c r="E29" s="120"/>
      <c r="F29" s="326">
        <f>-F27*C12</f>
        <v>0</v>
      </c>
      <c r="G29" s="83"/>
      <c r="H29" s="46"/>
      <c r="I29" s="76"/>
      <c r="J29" s="411" t="s">
        <v>15</v>
      </c>
      <c r="K29" s="294">
        <f>IF(F22=0,0,"Cambio 1 Euro=")</f>
        <v>0</v>
      </c>
      <c r="L29" s="362">
        <f>IF(K29=0,0,VLOOKUP(MAX(C65:C144),C65:D144,2,FALSE))</f>
        <v>0</v>
      </c>
      <c r="M29" s="46"/>
      <c r="N29" s="370">
        <v>9</v>
      </c>
      <c r="O29" s="369">
        <f t="shared" si="0"/>
      </c>
      <c r="P29" s="381"/>
      <c r="Q29" s="383"/>
      <c r="R29" s="372"/>
      <c r="S29" s="372"/>
      <c r="T29" s="20"/>
    </row>
    <row r="30" spans="2:20" ht="12.75">
      <c r="B30" s="16"/>
      <c r="C30" s="468"/>
      <c r="D30" s="393" t="s">
        <v>146</v>
      </c>
      <c r="E30" s="48"/>
      <c r="F30" s="162">
        <f>IF(OR(F23=0,F24=0,F10=0),0,F16)</f>
        <v>0</v>
      </c>
      <c r="G30" s="84"/>
      <c r="H30" s="46"/>
      <c r="I30" s="76"/>
      <c r="J30" s="412" t="s">
        <v>17</v>
      </c>
      <c r="K30" s="25" t="s">
        <v>141</v>
      </c>
      <c r="L30" s="25" t="s">
        <v>142</v>
      </c>
      <c r="M30" s="46"/>
      <c r="N30" s="370">
        <v>10</v>
      </c>
      <c r="O30" s="369">
        <f t="shared" si="0"/>
      </c>
      <c r="P30" s="381"/>
      <c r="Q30" s="89"/>
      <c r="R30" s="373"/>
      <c r="S30" s="374"/>
      <c r="T30" s="20"/>
    </row>
    <row r="31" spans="2:20" ht="12.75">
      <c r="B31" s="16"/>
      <c r="C31" s="468"/>
      <c r="D31" s="397" t="str">
        <f>IF(OR(F6=3,F6=1),"","Data Ultima Cedola")</f>
        <v>Data Ultima Cedola</v>
      </c>
      <c r="E31" s="115"/>
      <c r="F31" s="41">
        <f>IF(OR($F$11=0,F23=0,F9=""),0,COUPPCD(F23,$F$9,$F$11,1))</f>
        <v>0</v>
      </c>
      <c r="G31" s="84"/>
      <c r="H31" s="85"/>
      <c r="I31" s="86"/>
      <c r="J31" s="413" t="s">
        <v>140</v>
      </c>
      <c r="K31" s="140">
        <f>K18</f>
        <v>0</v>
      </c>
      <c r="L31" s="31">
        <f>IF(L29=0,0,K31/L29)</f>
        <v>0</v>
      </c>
      <c r="M31" s="85"/>
      <c r="N31" s="370">
        <v>11</v>
      </c>
      <c r="O31" s="369">
        <f t="shared" si="0"/>
      </c>
      <c r="P31" s="381"/>
      <c r="Q31" s="89"/>
      <c r="R31" s="372"/>
      <c r="S31" s="372"/>
      <c r="T31" s="20"/>
    </row>
    <row r="32" spans="2:20" s="42" customFormat="1" ht="12.75">
      <c r="B32" s="40"/>
      <c r="C32" s="468"/>
      <c r="D32" s="397" t="str">
        <f>IF(OR(F6=1,F6=3),"","Data Prossima Cedola")</f>
        <v>Data Prossima Cedola</v>
      </c>
      <c r="E32" s="115"/>
      <c r="F32" s="41">
        <f>IF(OR($F$11=0,F23=0,F9=""),0,COUPNCD(F23,$F$9,$F$11,1))</f>
        <v>0</v>
      </c>
      <c r="G32" s="319"/>
      <c r="H32" s="89"/>
      <c r="I32" s="90"/>
      <c r="J32" s="413" t="s">
        <v>75</v>
      </c>
      <c r="K32" s="30">
        <f>IF(F42&lt;&gt;0,K31*F43/100,F16*K31/100)</f>
        <v>0</v>
      </c>
      <c r="L32" s="31">
        <f>IF(L29=0,0,K32/L29)</f>
        <v>0</v>
      </c>
      <c r="M32" s="89"/>
      <c r="N32" s="370">
        <v>12</v>
      </c>
      <c r="O32" s="369">
        <f t="shared" si="0"/>
      </c>
      <c r="P32" s="381"/>
      <c r="Q32" s="89"/>
      <c r="R32" s="375"/>
      <c r="S32" s="375"/>
      <c r="T32" s="89"/>
    </row>
    <row r="33" spans="2:20" s="42" customFormat="1" ht="12.75">
      <c r="B33" s="40"/>
      <c r="C33" s="468"/>
      <c r="D33" s="394" t="str">
        <f>IF(OR(F6=1,F6=3),"","Rateo Lordo")</f>
        <v>Rateo Lordo</v>
      </c>
      <c r="E33" s="114"/>
      <c r="F33" s="128">
        <f>IF(F23=0,0,IF(F19=2,FLOOR($F$12/$F$11*(F23-F31)/(F32-F31)*100,0.000001),YEARFRAC(F31,F23,F19-1)*F12*100))</f>
        <v>0</v>
      </c>
      <c r="G33" s="88"/>
      <c r="H33" s="89"/>
      <c r="I33" s="90"/>
      <c r="J33" s="413" t="s">
        <v>69</v>
      </c>
      <c r="K33" s="157">
        <f>IF(F42&lt;&gt;0,F46*K31/100,F15*K31/100)</f>
        <v>0</v>
      </c>
      <c r="L33" s="33">
        <f>IF(L29=0,0,K33/L29)</f>
        <v>0</v>
      </c>
      <c r="M33" s="89"/>
      <c r="N33" s="370">
        <v>13</v>
      </c>
      <c r="O33" s="369">
        <f t="shared" si="0"/>
      </c>
      <c r="P33" s="381"/>
      <c r="Q33" s="89"/>
      <c r="R33" s="376"/>
      <c r="S33" s="376"/>
      <c r="T33" s="89"/>
    </row>
    <row r="34" spans="1:20" s="42" customFormat="1" ht="12.75">
      <c r="A34" s="147">
        <f>IF($E$44=1,$F$44*$K$18/100,$K$32*$F$44/100)</f>
        <v>0</v>
      </c>
      <c r="B34" s="40"/>
      <c r="C34" s="468"/>
      <c r="D34" s="394" t="str">
        <f>IF(OR(F6=1,F6=3),"","Rateo Netto")</f>
        <v>Rateo Netto</v>
      </c>
      <c r="E34" s="114"/>
      <c r="F34" s="125">
        <f>F33*(1-C12)</f>
        <v>0</v>
      </c>
      <c r="G34" s="88"/>
      <c r="H34" s="89"/>
      <c r="I34" s="90"/>
      <c r="J34" s="413" t="s">
        <v>143</v>
      </c>
      <c r="K34" s="102">
        <f>IF(F42=0,0,IF(F41&lt;&gt;0,L34*F41,IF(AND($K$13=0,$K$14=0),A34,IF(AND($K$13&lt;&gt;0,$K$14=0),MAX($K$13,A34),IF(AND($K$13=0,$K$14&lt;&gt;0),MIN($K$14,A34),IF(A34&lt;$K$13,$K$13,IF(A34&gt;$K$14,$K$14,A34)))))))</f>
        <v>0</v>
      </c>
      <c r="L34" s="31">
        <f>IF(F41&lt;&gt;0,IF(OR(L18=0,F42=0),0,IF(F42&lt;&gt;0,IF(AND($K$13=0,$K$14=0),A34/F41,IF(AND($K$13&lt;&gt;0,$K$14=0),MAX($K$13,A34/F41),IF(AND($K$13=0,$K$14&lt;&gt;0),MIN($K$14,A34/F41),IF(A34/F41&lt;$K$13,$K$13,IF(A34/F41&gt;$K$14,$K$14,A34/F41))))),K34/VLOOKUP(F42,C64:D144,2,FALSE))),0)</f>
        <v>0</v>
      </c>
      <c r="M34" s="89"/>
      <c r="N34" s="370">
        <v>14</v>
      </c>
      <c r="O34" s="369">
        <f t="shared" si="0"/>
      </c>
      <c r="P34" s="381"/>
      <c r="Q34" s="89"/>
      <c r="R34" s="376"/>
      <c r="S34" s="376"/>
      <c r="T34" s="89"/>
    </row>
    <row r="35" spans="2:20" ht="12.75">
      <c r="B35" s="16"/>
      <c r="C35" s="469"/>
      <c r="D35" s="398" t="s">
        <v>133</v>
      </c>
      <c r="E35" s="119"/>
      <c r="F35" s="44">
        <f>IF(F9="",0,IF(E25=1,F24+F25+F29+F34,F24+F25*F24/100+F29+F34))</f>
        <v>0</v>
      </c>
      <c r="G35" s="143">
        <f>IF(OR(F22=0,F22=""),0,F35/F22)</f>
        <v>0</v>
      </c>
      <c r="H35" s="22"/>
      <c r="I35" s="91"/>
      <c r="J35" s="413" t="s">
        <v>4</v>
      </c>
      <c r="K35" s="10"/>
      <c r="L35" s="146"/>
      <c r="M35" s="22"/>
      <c r="N35" s="370">
        <v>15</v>
      </c>
      <c r="O35" s="369">
        <f t="shared" si="0"/>
      </c>
      <c r="P35" s="381"/>
      <c r="Q35" s="89"/>
      <c r="R35" s="372"/>
      <c r="S35" s="372"/>
      <c r="T35" s="20"/>
    </row>
    <row r="36" spans="2:20" ht="12.75">
      <c r="B36" s="16"/>
      <c r="C36" s="156"/>
      <c r="D36" s="42"/>
      <c r="F36" s="157"/>
      <c r="G36" s="42"/>
      <c r="H36" s="20"/>
      <c r="I36" s="39"/>
      <c r="J36" s="413" t="s">
        <v>70</v>
      </c>
      <c r="K36" s="30">
        <f>IF(F11=0,0,IF(F42&lt;&gt;0,F53*K31/100,VLOOKUP(F9,O21:P60,2,FALSE)*K31))</f>
        <v>0</v>
      </c>
      <c r="L36" s="31">
        <f>IF(L29=0,0,K36/L29)</f>
        <v>0</v>
      </c>
      <c r="M36" s="20"/>
      <c r="N36" s="370">
        <v>16</v>
      </c>
      <c r="O36" s="369">
        <f t="shared" si="0"/>
      </c>
      <c r="P36" s="381"/>
      <c r="Q36" s="89"/>
      <c r="R36" s="377"/>
      <c r="S36" s="372"/>
      <c r="T36" s="20"/>
    </row>
    <row r="37" spans="2:20" ht="12">
      <c r="B37" s="16"/>
      <c r="C37" s="156"/>
      <c r="D37" s="42"/>
      <c r="E37" s="42"/>
      <c r="F37" s="42"/>
      <c r="G37" s="42"/>
      <c r="H37" s="20"/>
      <c r="I37" s="39"/>
      <c r="J37" s="444" t="s">
        <v>24</v>
      </c>
      <c r="K37" s="175">
        <f>IF($K$18=0,0,IF(AND($F$8&gt;100,$F$42=""),100,IF(AND($F$8&lt;100,$F$42=""),$F$8,(K32-K33-K34-K35)/$K$31*100)))</f>
        <v>0</v>
      </c>
      <c r="L37" s="366">
        <f>IF(L18=0,0,IF($K$18=0,0,IF($F$6=3,$F$8,IF(AND($F$6=1,$F$42=""),$F$8,IF(AND($F$6=2,$F$8&lt;100,$F$42=""),$F$8,IF(AND($F$6=2,$F$42=""),$F$10,(L32-L33-L34-L35)/$L$31*100))))))</f>
        <v>0</v>
      </c>
      <c r="M37" s="20"/>
      <c r="N37" s="370">
        <v>17</v>
      </c>
      <c r="O37" s="369">
        <f t="shared" si="0"/>
      </c>
      <c r="P37" s="381"/>
      <c r="Q37" s="89"/>
      <c r="R37" s="46"/>
      <c r="S37" s="20"/>
      <c r="T37" s="20"/>
    </row>
    <row r="38" spans="2:20" ht="12.75">
      <c r="B38" s="16"/>
      <c r="C38" s="156"/>
      <c r="D38" s="42"/>
      <c r="E38" s="42"/>
      <c r="F38" s="42"/>
      <c r="G38" s="42"/>
      <c r="H38" s="20"/>
      <c r="I38" s="39"/>
      <c r="J38" s="413" t="s">
        <v>23</v>
      </c>
      <c r="K38" s="30">
        <f>IF(F42&lt;&gt;0,-F46*C12*K31/100,0)</f>
        <v>0</v>
      </c>
      <c r="L38" s="31">
        <f>IF(L29=0,0,K38/L29)</f>
        <v>0</v>
      </c>
      <c r="M38" s="20"/>
      <c r="N38" s="370">
        <v>18</v>
      </c>
      <c r="O38" s="369">
        <f t="shared" si="0"/>
      </c>
      <c r="P38" s="381"/>
      <c r="Q38" s="89"/>
      <c r="T38" s="20"/>
    </row>
    <row r="39" spans="2:20" ht="12.75">
      <c r="B39" s="16"/>
      <c r="C39" s="467" t="s">
        <v>106</v>
      </c>
      <c r="D39" s="400" t="s">
        <v>8</v>
      </c>
      <c r="E39" s="429"/>
      <c r="F39" s="151"/>
      <c r="G39" s="47"/>
      <c r="H39" s="20"/>
      <c r="I39" s="39"/>
      <c r="J39" s="413" t="s">
        <v>87</v>
      </c>
      <c r="K39" s="30">
        <f>IF(F42&lt;&gt;0,-F53*K31/100*C12,-K36*C12)</f>
        <v>0</v>
      </c>
      <c r="L39" s="31">
        <f>IF(L29=0,0,K39/L29)</f>
        <v>0</v>
      </c>
      <c r="M39" s="20"/>
      <c r="N39" s="370">
        <v>19</v>
      </c>
      <c r="O39" s="369">
        <f t="shared" si="0"/>
      </c>
      <c r="P39" s="381"/>
      <c r="Q39" s="89"/>
      <c r="T39" s="20"/>
    </row>
    <row r="40" spans="2:20" ht="12.75">
      <c r="B40" s="16"/>
      <c r="C40" s="468"/>
      <c r="D40" s="401">
        <f>IF(F6=3,"ATTENZIONE : in caso di BOT non è prevista la vendita","")</f>
      </c>
      <c r="E40" s="430"/>
      <c r="F40" s="153"/>
      <c r="G40" s="331"/>
      <c r="H40" s="20"/>
      <c r="I40" s="39"/>
      <c r="J40" s="414" t="s">
        <v>25</v>
      </c>
      <c r="K40" s="357">
        <f>IF(OR(F42="",F42=F50),K32-K34-K35+K36+K38+K39-K43,K32-K34-K35+K36+K38+K39)</f>
        <v>0</v>
      </c>
      <c r="L40" s="185">
        <f>IF(F9="",0,IF(F23=0,0,IF(AND(F42&lt;&gt;0,VLOOKUP(F42,C64:D144,2,FALSE)&lt;&gt;0),K40/VLOOKUP(F42,C64:D144,2,FALSE)-L35,IF(AND(F42&lt;&gt;0,VLOOKUP(F42,C64:D144,2,FALSE)=0),0,IF(AND(F9&lt;&gt;0,VLOOKUP(F9,C64:D144,2,FALSE)&lt;&gt;0),K40/VLOOKUP(F9,C64:D144,2,FALSE)-L35-L43,0)))))</f>
        <v>0</v>
      </c>
      <c r="M40" s="20"/>
      <c r="N40" s="370">
        <v>20</v>
      </c>
      <c r="O40" s="369">
        <f t="shared" si="0"/>
      </c>
      <c r="P40" s="381"/>
      <c r="Q40" s="89"/>
      <c r="R40" s="20"/>
      <c r="S40" s="20"/>
      <c r="T40" s="20"/>
    </row>
    <row r="41" spans="2:20" ht="12.75">
      <c r="B41" s="16"/>
      <c r="C41" s="468"/>
      <c r="D41" s="402"/>
      <c r="E41" s="431" t="s">
        <v>135</v>
      </c>
      <c r="F41" s="184">
        <f>IF(F9="",0,VLOOKUP(F42,C64:D144,2,FALSE))</f>
        <v>0</v>
      </c>
      <c r="H41" s="20"/>
      <c r="I41" s="39"/>
      <c r="J41" s="415" t="s">
        <v>5</v>
      </c>
      <c r="K41" s="149"/>
      <c r="L41" s="363"/>
      <c r="M41" s="20"/>
      <c r="N41" s="370">
        <v>21</v>
      </c>
      <c r="O41" s="369">
        <f t="shared" si="0"/>
      </c>
      <c r="P41" s="381"/>
      <c r="Q41" s="89"/>
      <c r="R41" s="20"/>
      <c r="S41" s="20"/>
      <c r="T41" s="20"/>
    </row>
    <row r="42" spans="2:20" ht="12.75">
      <c r="B42" s="16"/>
      <c r="C42" s="468"/>
      <c r="D42" s="403" t="str">
        <f>IF(F6=3,"","Data  vendita (data del regolamento)")</f>
        <v>Data  vendita (data del regolamento)</v>
      </c>
      <c r="E42" s="432"/>
      <c r="F42" s="138"/>
      <c r="G42" s="49"/>
      <c r="H42" s="20"/>
      <c r="I42" s="39"/>
      <c r="J42" s="438"/>
      <c r="K42" s="295"/>
      <c r="L42" s="364"/>
      <c r="M42" s="20"/>
      <c r="N42" s="370">
        <v>22</v>
      </c>
      <c r="O42" s="369">
        <f t="shared" si="0"/>
      </c>
      <c r="P42" s="381"/>
      <c r="Q42" s="89"/>
      <c r="R42" s="131"/>
      <c r="S42" s="20"/>
      <c r="T42" s="20"/>
    </row>
    <row r="43" spans="2:20" ht="12.75">
      <c r="B43" s="16"/>
      <c r="C43" s="468"/>
      <c r="D43" s="403" t="str">
        <f>IF(F6=3,"","Prezzo vendita")</f>
        <v>Prezzo vendita</v>
      </c>
      <c r="E43" s="432"/>
      <c r="F43" s="349"/>
      <c r="G43" s="84"/>
      <c r="H43" s="20"/>
      <c r="I43" s="39"/>
      <c r="J43" s="439" t="s">
        <v>66</v>
      </c>
      <c r="K43" s="296"/>
      <c r="L43" s="146"/>
      <c r="M43" s="20"/>
      <c r="N43" s="370">
        <v>23</v>
      </c>
      <c r="O43" s="369">
        <f t="shared" si="0"/>
      </c>
      <c r="P43" s="381"/>
      <c r="Q43" s="89"/>
      <c r="R43" s="131"/>
      <c r="S43" s="20"/>
      <c r="T43" s="20"/>
    </row>
    <row r="44" spans="2:20" ht="19.5" customHeight="1">
      <c r="B44" s="16"/>
      <c r="C44" s="468"/>
      <c r="D44" s="403"/>
      <c r="E44" s="433">
        <v>2</v>
      </c>
      <c r="F44" s="1"/>
      <c r="G44" s="84"/>
      <c r="H44" s="20"/>
      <c r="I44" s="39"/>
      <c r="J44" s="413" t="s">
        <v>41</v>
      </c>
      <c r="K44" s="30">
        <f>IF(OR(K18=0,F12=0,F11=0),0,K18*F12/F11*(1-C12)-K43)</f>
        <v>0</v>
      </c>
      <c r="L44" s="183"/>
      <c r="M44" s="20"/>
      <c r="N44" s="370">
        <v>24</v>
      </c>
      <c r="O44" s="369">
        <f t="shared" si="0"/>
      </c>
      <c r="P44" s="381"/>
      <c r="Q44" s="89"/>
      <c r="R44" s="131"/>
      <c r="S44" s="20"/>
      <c r="T44" s="20"/>
    </row>
    <row r="45" spans="2:20" ht="12.75">
      <c r="B45" s="16"/>
      <c r="C45" s="468"/>
      <c r="D45" s="404" t="str">
        <f>IF(F6=3,"","Prezzo Teorico")</f>
        <v>Prezzo Teorico</v>
      </c>
      <c r="E45" s="434"/>
      <c r="F45" s="18">
        <f>IF(F42=0,0,$F$15/YEARFRAC(F13,F9,F20-1)*YEARFRAC(F13,F42,F20-1)+$F$14)</f>
        <v>0</v>
      </c>
      <c r="G45" s="39"/>
      <c r="H45" s="20"/>
      <c r="I45" s="39"/>
      <c r="J45" s="440"/>
      <c r="M45" s="20"/>
      <c r="N45" s="370">
        <v>25</v>
      </c>
      <c r="O45" s="369">
        <f t="shared" si="0"/>
      </c>
      <c r="P45" s="381"/>
      <c r="Q45" s="89"/>
      <c r="R45" s="131"/>
      <c r="S45" s="20"/>
      <c r="T45" s="20"/>
    </row>
    <row r="46" spans="2:20" ht="12.75">
      <c r="B46" s="16"/>
      <c r="C46" s="468"/>
      <c r="D46" s="405" t="str">
        <f>IF(F6=3,"","Disaggio Lordo")</f>
        <v>Disaggio Lordo</v>
      </c>
      <c r="E46" s="432"/>
      <c r="F46" s="124">
        <f>IF(OR($F$8=0,$F$7=0,F42=0,F43=0,$F$14&gt;$F$10),0,F45-$F$14)</f>
        <v>0</v>
      </c>
      <c r="G46" s="84"/>
      <c r="H46" s="20"/>
      <c r="I46" s="39"/>
      <c r="J46" s="444" t="s">
        <v>0</v>
      </c>
      <c r="K46" s="125">
        <f>IF(K18=0,0,K37-K24)</f>
        <v>0</v>
      </c>
      <c r="L46" s="358">
        <f>IF(L18=0,0,L37/L29-L24/L16)</f>
        <v>0</v>
      </c>
      <c r="M46" s="20"/>
      <c r="N46" s="370">
        <v>26</v>
      </c>
      <c r="O46" s="369">
        <f t="shared" si="0"/>
      </c>
      <c r="P46" s="381"/>
      <c r="Q46" s="89"/>
      <c r="R46" s="20"/>
      <c r="S46" s="20"/>
      <c r="T46" s="20"/>
    </row>
    <row r="47" spans="2:20" ht="12.75">
      <c r="B47" s="16"/>
      <c r="C47" s="468"/>
      <c r="D47" s="405" t="str">
        <f>IF(F6=3,"","Corso Super Secco")</f>
        <v>Corso Super Secco</v>
      </c>
      <c r="E47" s="432"/>
      <c r="F47" s="136">
        <f>F43-F46</f>
        <v>0</v>
      </c>
      <c r="G47" s="84"/>
      <c r="H47" s="20"/>
      <c r="I47" s="39"/>
      <c r="J47" s="441" t="s">
        <v>88</v>
      </c>
      <c r="K47" s="174">
        <f>IF(K46&lt;0,0,K46*C12)</f>
        <v>0</v>
      </c>
      <c r="L47" s="358">
        <f>IF(L46&lt;0,0,L46*D12)</f>
        <v>0</v>
      </c>
      <c r="M47" s="20"/>
      <c r="N47" s="370">
        <v>27</v>
      </c>
      <c r="O47" s="369">
        <f t="shared" si="0"/>
      </c>
      <c r="P47" s="381"/>
      <c r="Q47" s="89"/>
      <c r="R47" s="20"/>
      <c r="S47" s="20"/>
      <c r="T47" s="20"/>
    </row>
    <row r="48" spans="2:20" ht="12.75">
      <c r="B48" s="16"/>
      <c r="C48" s="468"/>
      <c r="D48" s="406" t="str">
        <f>IF(F6=3,"","Imposta sul disaggio")</f>
        <v>Imposta sul disaggio</v>
      </c>
      <c r="E48" s="432"/>
      <c r="F48" s="125">
        <f>F46*C12</f>
        <v>0</v>
      </c>
      <c r="G48" s="84"/>
      <c r="H48" s="20"/>
      <c r="I48" s="39"/>
      <c r="J48" s="440"/>
      <c r="M48" s="20"/>
      <c r="N48" s="370">
        <v>28</v>
      </c>
      <c r="O48" s="369">
        <f t="shared" si="0"/>
      </c>
      <c r="P48" s="381"/>
      <c r="Q48" s="89"/>
      <c r="R48" s="20"/>
      <c r="S48" s="20"/>
      <c r="T48" s="20"/>
    </row>
    <row r="49" spans="2:20" ht="12.75">
      <c r="B49" s="16"/>
      <c r="C49" s="468"/>
      <c r="D49" s="403" t="str">
        <f>IF(F6=3,"","Importo netto")</f>
        <v>Importo netto</v>
      </c>
      <c r="E49" s="432"/>
      <c r="F49" s="128">
        <f>IF(F42="",0,(F43-F48))</f>
        <v>0</v>
      </c>
      <c r="G49" s="84"/>
      <c r="H49" s="20"/>
      <c r="I49" s="39"/>
      <c r="J49" s="413" t="s">
        <v>86</v>
      </c>
      <c r="K49" s="30">
        <f>K46*K18/100</f>
        <v>0</v>
      </c>
      <c r="L49" s="31">
        <f>L46*K18/100</f>
        <v>0</v>
      </c>
      <c r="M49" s="20"/>
      <c r="N49" s="370">
        <v>29</v>
      </c>
      <c r="O49" s="369">
        <f t="shared" si="0"/>
      </c>
      <c r="P49" s="381"/>
      <c r="Q49" s="89"/>
      <c r="R49" s="20"/>
      <c r="S49" s="20"/>
      <c r="T49" s="20"/>
    </row>
    <row r="50" spans="2:20" ht="12.75">
      <c r="B50" s="16"/>
      <c r="C50" s="468"/>
      <c r="D50" s="403" t="str">
        <f>IF(OR(F6=3,F6=1),"","Data ultima cedola")</f>
        <v>Data ultima cedola</v>
      </c>
      <c r="E50" s="432"/>
      <c r="F50" s="41">
        <f>IF(OR($F$11=0,F42=0,F9=""),0,COUPPCD(F42,$F$9,$F$11,1))</f>
        <v>0</v>
      </c>
      <c r="G50" s="50"/>
      <c r="H50" s="20"/>
      <c r="I50" s="39"/>
      <c r="J50" s="444" t="s">
        <v>33</v>
      </c>
      <c r="K50" s="10"/>
      <c r="L50" s="146"/>
      <c r="M50" s="20"/>
      <c r="N50" s="370">
        <v>30</v>
      </c>
      <c r="O50" s="369">
        <f t="shared" si="0"/>
      </c>
      <c r="P50" s="381"/>
      <c r="Q50" s="89"/>
      <c r="R50" s="20"/>
      <c r="S50" s="20"/>
      <c r="T50" s="20"/>
    </row>
    <row r="51" spans="2:20" ht="12.75">
      <c r="B51" s="16"/>
      <c r="C51" s="468"/>
      <c r="D51" s="407" t="str">
        <f>IF(OR(F6=3,F6=1),"","Data prossima cedola")</f>
        <v>Data prossima cedola</v>
      </c>
      <c r="E51" s="435"/>
      <c r="F51" s="41">
        <f>IF(OR($F$11=0,F42=0,F9=""),0,COUPNCD(F42,$F$9,$F$11,1))</f>
        <v>0</v>
      </c>
      <c r="H51" s="20"/>
      <c r="I51" s="39"/>
      <c r="J51" s="413" t="s">
        <v>2</v>
      </c>
      <c r="K51" s="30">
        <f>IF(K50&gt;K49,0,K49-K50)</f>
        <v>0</v>
      </c>
      <c r="L51" s="31">
        <f>IF(L50&gt;L49,0,L49-L50)</f>
        <v>0</v>
      </c>
      <c r="M51" s="20"/>
      <c r="N51" s="370">
        <v>31</v>
      </c>
      <c r="O51" s="369">
        <f t="shared" si="0"/>
      </c>
      <c r="P51" s="381"/>
      <c r="Q51" s="89"/>
      <c r="R51" s="20"/>
      <c r="S51" s="20"/>
      <c r="T51" s="20"/>
    </row>
    <row r="52" spans="2:20" ht="12.75">
      <c r="B52" s="16"/>
      <c r="C52" s="468"/>
      <c r="D52" s="436" t="s">
        <v>109</v>
      </c>
      <c r="E52" s="436"/>
      <c r="F52" s="29">
        <f>IF(F9="","",IF(F42="","",VLOOKUP(F51,O21:P60,2,FALSE)))</f>
      </c>
      <c r="H52" s="20"/>
      <c r="I52" s="39"/>
      <c r="J52" s="413" t="s">
        <v>22</v>
      </c>
      <c r="K52" s="30">
        <f>K51*C12</f>
        <v>0</v>
      </c>
      <c r="L52" s="31">
        <f>L51*C12</f>
        <v>0</v>
      </c>
      <c r="M52" s="20"/>
      <c r="N52" s="370">
        <v>32</v>
      </c>
      <c r="O52" s="369">
        <f t="shared" si="0"/>
      </c>
      <c r="P52" s="381"/>
      <c r="Q52" s="89"/>
      <c r="R52" s="20"/>
      <c r="S52" s="20"/>
      <c r="T52" s="20"/>
    </row>
    <row r="53" spans="2:20" ht="12.75">
      <c r="B53" s="16"/>
      <c r="C53" s="469"/>
      <c r="D53" s="403" t="str">
        <f>IF(OR(F6=3,F6=1),"","Rateo Lordo")</f>
        <v>Rateo Lordo</v>
      </c>
      <c r="E53" s="432"/>
      <c r="F53" s="125">
        <f>IF(OR(F42=0,F11=0,F9=""),0,IF(F19=2,FLOOR(F52*(F42-F50)/(F51-F50)*100,0.000001),YEARFRAC(F50,F42,F19-1)*F52*F11*100))</f>
        <v>0</v>
      </c>
      <c r="G53" s="50"/>
      <c r="H53" s="20"/>
      <c r="I53" s="39"/>
      <c r="J53" s="442" t="s">
        <v>35</v>
      </c>
      <c r="K53" s="160">
        <f>IF(K50-K49&lt;0,0,K50-K49)</f>
        <v>0</v>
      </c>
      <c r="L53" s="350">
        <f>IF(L50-L49&lt;0,0,L50-L49)</f>
        <v>0</v>
      </c>
      <c r="M53" s="20"/>
      <c r="N53" s="370">
        <v>33</v>
      </c>
      <c r="O53" s="369">
        <f t="shared" si="0"/>
      </c>
      <c r="P53" s="381"/>
      <c r="Q53" s="89"/>
      <c r="R53" s="20"/>
      <c r="S53" s="20"/>
      <c r="T53" s="20"/>
    </row>
    <row r="54" spans="2:20" ht="12.75">
      <c r="B54" s="16"/>
      <c r="C54" s="118"/>
      <c r="D54" s="403" t="str">
        <f>IF(OR(F6=3,F6=1),"","Rateo Netto")</f>
        <v>Rateo Netto</v>
      </c>
      <c r="E54" s="432"/>
      <c r="F54" s="125">
        <f>F53*(1-C12)</f>
        <v>0</v>
      </c>
      <c r="G54" s="51"/>
      <c r="H54" s="20"/>
      <c r="I54" s="39"/>
      <c r="J54" s="440"/>
      <c r="M54" s="20"/>
      <c r="N54" s="370">
        <v>34</v>
      </c>
      <c r="O54" s="369">
        <f t="shared" si="0"/>
      </c>
      <c r="P54" s="381"/>
      <c r="Q54" s="89"/>
      <c r="R54" s="20"/>
      <c r="S54" s="20"/>
      <c r="T54" s="20"/>
    </row>
    <row r="55" spans="2:20" ht="38.25">
      <c r="B55" s="16"/>
      <c r="C55" s="118"/>
      <c r="D55" s="408" t="str">
        <f>IF(F6=3,"","Prezzo di rimborso")</f>
        <v>Prezzo di rimborso</v>
      </c>
      <c r="E55" s="437"/>
      <c r="F55" s="163">
        <f>IF(F42="",0,IF(E44=1,F54+F49-F44,F54+F49-F44*F43/100))</f>
        <v>0</v>
      </c>
      <c r="G55" s="33">
        <f>IF(OR(F41="",F41=0,F22=0,F22=""),0,F55/F41)</f>
        <v>0</v>
      </c>
      <c r="H55" s="20"/>
      <c r="I55" s="39"/>
      <c r="J55" s="442" t="s">
        <v>31</v>
      </c>
      <c r="K55" s="79">
        <f>K40-K52</f>
        <v>0</v>
      </c>
      <c r="L55" s="80">
        <f>L40-L52</f>
        <v>0</v>
      </c>
      <c r="M55" s="20"/>
      <c r="N55" s="370">
        <v>35</v>
      </c>
      <c r="O55" s="369">
        <f t="shared" si="0"/>
      </c>
      <c r="P55" s="381"/>
      <c r="Q55" s="89"/>
      <c r="R55" s="20"/>
      <c r="S55" s="20"/>
      <c r="T55" s="20"/>
    </row>
    <row r="56" spans="2:20" ht="12.75">
      <c r="B56" s="16"/>
      <c r="C56" s="20"/>
      <c r="D56" s="421"/>
      <c r="E56" s="422"/>
      <c r="F56" s="44"/>
      <c r="G56" s="20"/>
      <c r="H56" s="20"/>
      <c r="I56" s="39"/>
      <c r="J56" s="440"/>
      <c r="M56" s="20"/>
      <c r="N56" s="370">
        <v>36</v>
      </c>
      <c r="O56" s="369">
        <f t="shared" si="0"/>
      </c>
      <c r="P56" s="381"/>
      <c r="Q56" s="89"/>
      <c r="R56" s="20"/>
      <c r="S56" s="20"/>
      <c r="T56" s="20"/>
    </row>
    <row r="57" spans="2:20" ht="12.75">
      <c r="B57" s="16"/>
      <c r="C57" s="470" t="s">
        <v>134</v>
      </c>
      <c r="D57" s="475" t="s">
        <v>49</v>
      </c>
      <c r="E57" s="476"/>
      <c r="F57" s="52">
        <f>IF(OR(F23=0,F24=0,F9=""),0,SUM(F64:F144))</f>
        <v>0</v>
      </c>
      <c r="G57" s="33">
        <f>IF(OR(F22=0,F22=""),0,SUM(G64:G144))</f>
        <v>0</v>
      </c>
      <c r="H57" s="22"/>
      <c r="I57" s="91"/>
      <c r="J57" s="440"/>
      <c r="M57" s="22"/>
      <c r="N57" s="370">
        <v>37</v>
      </c>
      <c r="O57" s="369">
        <f t="shared" si="0"/>
      </c>
      <c r="P57" s="381"/>
      <c r="Q57" s="89"/>
      <c r="R57" s="20"/>
      <c r="S57" s="20"/>
      <c r="T57" s="20"/>
    </row>
    <row r="58" spans="2:20" ht="12.75">
      <c r="B58" s="16"/>
      <c r="C58" s="471"/>
      <c r="D58" s="475" t="str">
        <f>IF(F6=3,"Durata in giorni","Durata in anni")</f>
        <v>Durata in anni</v>
      </c>
      <c r="E58" s="476"/>
      <c r="F58" s="342">
        <f>IF(OR(F9=0,F23=0),0,IF(F6=3,F9-F23,IF(F42=0,YEARFRAC(F23,F9,1),YEARFRAC(F23,F42,1))))</f>
        <v>0</v>
      </c>
      <c r="G58" s="33">
        <f>IF(F22=0,0,IF(F42="",YEARFRAC(F23,F9,1),YEARFRAC(F23,F42,1)))</f>
        <v>0</v>
      </c>
      <c r="H58" s="22"/>
      <c r="I58" s="91"/>
      <c r="J58" s="413" t="s">
        <v>49</v>
      </c>
      <c r="K58" s="79">
        <f>SUM(K64:K144)</f>
        <v>0</v>
      </c>
      <c r="L58" s="80">
        <f>SUM(L64:L144)</f>
        <v>0</v>
      </c>
      <c r="M58" s="22"/>
      <c r="N58" s="370">
        <v>38</v>
      </c>
      <c r="O58" s="369">
        <f t="shared" si="0"/>
      </c>
      <c r="P58" s="381"/>
      <c r="Q58" s="89"/>
      <c r="R58" s="20"/>
      <c r="S58" s="20"/>
      <c r="T58" s="20"/>
    </row>
    <row r="59" spans="2:20" ht="12.75">
      <c r="B59" s="16"/>
      <c r="C59" s="471"/>
      <c r="D59" s="475" t="s">
        <v>51</v>
      </c>
      <c r="E59" s="476"/>
      <c r="F59" s="29">
        <f>IF(OR(F23=0,F9=0,F24=0,F10=0),0,-F57/F64/F58)</f>
        <v>0</v>
      </c>
      <c r="G59" s="54">
        <f>IF(OR(F23=0,F9=0,F24=0,F10=0),0,IF(OR(F22=0,F22=""),0,-G57/G64/G58))</f>
        <v>0</v>
      </c>
      <c r="H59" s="45"/>
      <c r="I59" s="92"/>
      <c r="J59" s="413" t="s">
        <v>51</v>
      </c>
      <c r="K59" s="36">
        <f>IF(OR(F23=0,F9=0,F24=0,F10=0,F58=0,K27=0),0,K58/K27/F58)</f>
        <v>0</v>
      </c>
      <c r="L59" s="37">
        <f>IF(OR(F22=0,F23=0,F9=0,F24=0,F10=0,L27=0,F58=0),0,L58/L27/G58)</f>
        <v>0</v>
      </c>
      <c r="M59" s="45"/>
      <c r="N59" s="370">
        <v>39</v>
      </c>
      <c r="O59" s="369">
        <f t="shared" si="0"/>
      </c>
      <c r="P59" s="381"/>
      <c r="Q59" s="89"/>
      <c r="R59" s="20"/>
      <c r="S59" s="20"/>
      <c r="T59" s="20"/>
    </row>
    <row r="60" spans="2:20" s="56" customFormat="1" ht="25.5">
      <c r="B60" s="55"/>
      <c r="C60" s="472"/>
      <c r="D60" s="473" t="s">
        <v>9</v>
      </c>
      <c r="E60" s="474"/>
      <c r="F60" s="36">
        <f>IF(OR($F$23=0,$F$9=0,$F$24=0,$F$10=0),0,IF(AND($F$42=0,$F$58&gt;1),XIRR($F$64:$F$144,$C$64:$C$144),IF(AND($F$42=0,$F$58&lt;1),F57/F35/$F$58,IF(AND($F$42&lt;&gt;0,$F$58&gt;1),XIRR($F$64:$F$144,$C$64:$C$144),F57/F35/$F$58))))</f>
        <v>0</v>
      </c>
      <c r="G60" s="37">
        <f>IF(OR($F$22=0,$F$23=0,$F$9=0,$F$24=0,$F$10=0),0,IF(AND($F$42=0,$F$58&gt;1),XIRR($G$64:$G$144,$C$64:$C$144),IF(AND($F$42=0,$F$58&lt;1),G57/G35/$F$58,IF(AND($F$42&lt;&gt;0,$F$58&gt;1),XIRR($G$64:$G$144,$C$64:$C$144),G57/G35/$F$58))))</f>
        <v>0</v>
      </c>
      <c r="H60" s="94"/>
      <c r="I60" s="95"/>
      <c r="J60" s="420" t="s">
        <v>10</v>
      </c>
      <c r="K60" s="36">
        <f>IF(OR($F$23=0,$F$9=0,$F$24=0,$F$10=0,$K$27=0),0,IF(AND($F$42=0,$F$58&gt;1),XIRR(K64:K144,$J$64:$J$144),IF(AND($F$42=0,$F$58&lt;1),(K58/K27/$F$58),IF(AND($F$42&lt;&gt;0,$F$58&gt;1),XIRR(K64:K144,$J$64:$J$144),K58/K27/$F$58))))</f>
        <v>0</v>
      </c>
      <c r="L60" s="37">
        <f>IF(OR($F$22=0,$F$23=0,$F$9=0,$F$24=0,$F$10=0,$L$27=0),0,IF(AND($F$42=0,$F$58&gt;1),XIRR(L64:L144,$J$64:$J$144),IF(AND($F$42=0,$F$58&lt;1),(L58/L27/$F$58),IF(AND($F$42&lt;&gt;0,$F$58&gt;1),XIRR(L64:L144,$J$64:$J$144),L58/L27/$F$58))))</f>
        <v>0</v>
      </c>
      <c r="M60" s="94"/>
      <c r="N60" s="370">
        <v>40</v>
      </c>
      <c r="O60" s="369">
        <f t="shared" si="0"/>
      </c>
      <c r="P60" s="381"/>
      <c r="Q60" s="89"/>
      <c r="R60" s="111"/>
      <c r="S60" s="111"/>
      <c r="T60" s="111"/>
    </row>
    <row r="61" spans="2:20" s="56" customFormat="1" ht="10.5" thickBot="1">
      <c r="B61" s="58"/>
      <c r="C61" s="59"/>
      <c r="D61" s="60"/>
      <c r="E61" s="60"/>
      <c r="F61" s="61"/>
      <c r="G61" s="61"/>
      <c r="H61" s="61"/>
      <c r="I61" s="97"/>
      <c r="J61" s="59"/>
      <c r="K61" s="59"/>
      <c r="L61" s="59"/>
      <c r="M61" s="61"/>
      <c r="N61" s="379"/>
      <c r="O61" s="380"/>
      <c r="P61" s="382"/>
      <c r="Q61" s="89"/>
      <c r="R61" s="111"/>
      <c r="S61" s="111"/>
      <c r="T61" s="111"/>
    </row>
    <row r="62" spans="2:20" ht="15.75" thickTop="1">
      <c r="B62" s="16"/>
      <c r="C62" s="20"/>
      <c r="D62" s="45"/>
      <c r="E62" s="22"/>
      <c r="F62" s="20"/>
      <c r="G62" s="20"/>
      <c r="H62" s="20"/>
      <c r="I62" s="39"/>
      <c r="M62" s="21"/>
      <c r="N62" s="20"/>
      <c r="O62" s="384">
        <f>IF(O60&lt;F9," Attenzione : durata troppo elevata !","")</f>
      </c>
      <c r="P62" s="111"/>
      <c r="Q62" s="20"/>
      <c r="R62" s="20"/>
      <c r="S62" s="20"/>
      <c r="T62" s="20"/>
    </row>
    <row r="63" spans="2:20" ht="19.5">
      <c r="B63" s="16"/>
      <c r="C63" s="64" t="s">
        <v>52</v>
      </c>
      <c r="D63" s="63" t="s">
        <v>18</v>
      </c>
      <c r="E63" s="64" t="s">
        <v>50</v>
      </c>
      <c r="F63" s="64" t="s">
        <v>53</v>
      </c>
      <c r="G63" s="67" t="s">
        <v>136</v>
      </c>
      <c r="H63" s="28"/>
      <c r="I63" s="78"/>
      <c r="J63" s="64" t="s">
        <v>52</v>
      </c>
      <c r="K63" s="25" t="s">
        <v>141</v>
      </c>
      <c r="L63" s="135" t="s">
        <v>13</v>
      </c>
      <c r="M63" s="68"/>
      <c r="N63" s="28"/>
      <c r="Q63" s="20"/>
      <c r="R63" s="20"/>
      <c r="S63" s="20"/>
      <c r="T63" s="20"/>
    </row>
    <row r="64" spans="2:14" ht="9.75">
      <c r="B64" s="16"/>
      <c r="C64" s="69">
        <f>F23</f>
        <v>0</v>
      </c>
      <c r="D64" s="11"/>
      <c r="E64" s="65"/>
      <c r="F64" s="66">
        <f>-F35</f>
        <v>0</v>
      </c>
      <c r="G64" s="144">
        <f>-G35</f>
        <v>0</v>
      </c>
      <c r="H64" s="99"/>
      <c r="I64" s="100"/>
      <c r="J64" s="101">
        <f aca="true" t="shared" si="1" ref="J64:J95">C64</f>
        <v>0</v>
      </c>
      <c r="K64" s="102">
        <f>-K27</f>
        <v>0</v>
      </c>
      <c r="L64" s="31">
        <f>-L27</f>
        <v>0</v>
      </c>
      <c r="M64" s="70"/>
      <c r="N64" s="99"/>
    </row>
    <row r="65" spans="2:14" ht="9.75">
      <c r="B65" s="16"/>
      <c r="C65" s="69">
        <f>IF($F$9="",0,IF(AND($F$42&lt;&gt;"",IF($F$11=0,$F$9,$F$32)&gt;$F$42),$F$42,IF($F$11=0,$F9,$F32)))</f>
        <v>0</v>
      </c>
      <c r="D65" s="2"/>
      <c r="E65" s="29">
        <f>IF(OR($F$11=0,C65=$F$42,C65=0),0,IF(OR(C65=0,C65=$F$42),IF(AND(C65=$F$50,C65&lt;&gt;0),P21*(1-$C$12),0),P21*(1-$C$12)))</f>
        <v>0</v>
      </c>
      <c r="F65" s="52">
        <f aca="true" t="shared" si="2" ref="F65:F96">IF(AND(C65=0,E65=0),0,IF(AND(C65=$F$9,$F$42=""),E65*100+$F$30,IF(AND(C65&lt;$F$9,$F$42=""),E65*100,IF(C65=$F$42,$F$55+E65*100,E65*100))))</f>
        <v>0</v>
      </c>
      <c r="G65" s="145">
        <f>IF(OR(D65=0,$F$22=0,$F$22=""),0,F65/D65)</f>
        <v>0</v>
      </c>
      <c r="H65" s="22"/>
      <c r="I65" s="91"/>
      <c r="J65" s="101">
        <f t="shared" si="1"/>
        <v>0</v>
      </c>
      <c r="K65" s="102">
        <f aca="true" t="shared" si="3" ref="K65:K96">IF(J65=0,0,IF(OR(J65=$F$42,J65=$F$9),$K$55,F65*$K$18/100-$K$43))</f>
        <v>0</v>
      </c>
      <c r="L65" s="31">
        <f aca="true" t="shared" si="4" ref="L65:L96">IF(OR(D65=0,J65=0),0,IF(OR(J65=$F$42,J65=$F$9),$L$55,G65*$K$18/100-$L$43))</f>
        <v>0</v>
      </c>
      <c r="M65" s="71"/>
      <c r="N65" s="22"/>
    </row>
    <row r="66" spans="2:14" ht="9.75">
      <c r="B66" s="16"/>
      <c r="C66" s="69">
        <f>IF(OR(C65=$F$9,C65=$F$42),0,IF(C65=$F$42,0,IF(AND(COUPNCD(C65,$F$9,$F$11,1)&gt;$F$42,$F$42&lt;&gt;""),$F$42,(IF(C65=0,0,IF(C65=$F$9,0,COUPNCD(C65,$F$9,$F$11,1)))))))</f>
        <v>0</v>
      </c>
      <c r="D66" s="2"/>
      <c r="E66" s="29">
        <f aca="true" t="shared" si="5" ref="E66:E129">IF(OR($F$11=0,C66=$F$42,C66=0),0,IF(OR(C66=0,C66=$F$42),IF(AND(C66=$F$50,C66&lt;&gt;0),P22*(1-$C$12),0),P22*(1-$C$12)))</f>
        <v>0</v>
      </c>
      <c r="F66" s="52">
        <f t="shared" si="2"/>
        <v>0</v>
      </c>
      <c r="G66" s="145">
        <f aca="true" t="shared" si="6" ref="G66:G97">IF(OR(D66=0,D66="",$F$22=0,$F$22=""),0,F66/D66)</f>
        <v>0</v>
      </c>
      <c r="H66" s="22"/>
      <c r="I66" s="91"/>
      <c r="J66" s="101">
        <f t="shared" si="1"/>
        <v>0</v>
      </c>
      <c r="K66" s="102">
        <f t="shared" si="3"/>
        <v>0</v>
      </c>
      <c r="L66" s="31">
        <f t="shared" si="4"/>
        <v>0</v>
      </c>
      <c r="M66" s="71"/>
      <c r="N66" s="22"/>
    </row>
    <row r="67" spans="2:14" ht="9.75">
      <c r="B67" s="16"/>
      <c r="C67" s="69">
        <f aca="true" t="shared" si="7" ref="C67:C98">IF(OR(C66=$F$9,C66=$F$42,C66=0),0,IF(C66=$F$42,0,IF(AND(COUPNCD(C66,$F$9,$F$11,1)&gt;$F$42,$F$42&lt;&gt;""),$F$42,(IF(C66=0,0,IF(C66=$F$9,0,COUPNCD(C66,$F$9,$F$11,1)))))))</f>
        <v>0</v>
      </c>
      <c r="D67" s="2"/>
      <c r="E67" s="29">
        <f t="shared" si="5"/>
        <v>0</v>
      </c>
      <c r="F67" s="52">
        <f t="shared" si="2"/>
        <v>0</v>
      </c>
      <c r="G67" s="145">
        <f t="shared" si="6"/>
        <v>0</v>
      </c>
      <c r="H67" s="22"/>
      <c r="I67" s="91"/>
      <c r="J67" s="101">
        <f t="shared" si="1"/>
        <v>0</v>
      </c>
      <c r="K67" s="102">
        <f t="shared" si="3"/>
        <v>0</v>
      </c>
      <c r="L67" s="31">
        <f t="shared" si="4"/>
        <v>0</v>
      </c>
      <c r="M67" s="71"/>
      <c r="N67" s="22"/>
    </row>
    <row r="68" spans="2:14" ht="9.75">
      <c r="B68" s="16"/>
      <c r="C68" s="69">
        <f t="shared" si="7"/>
        <v>0</v>
      </c>
      <c r="D68" s="2"/>
      <c r="E68" s="29">
        <f t="shared" si="5"/>
        <v>0</v>
      </c>
      <c r="F68" s="52">
        <f t="shared" si="2"/>
        <v>0</v>
      </c>
      <c r="G68" s="145">
        <f t="shared" si="6"/>
        <v>0</v>
      </c>
      <c r="H68" s="22"/>
      <c r="I68" s="91"/>
      <c r="J68" s="101">
        <f t="shared" si="1"/>
        <v>0</v>
      </c>
      <c r="K68" s="102">
        <f t="shared" si="3"/>
        <v>0</v>
      </c>
      <c r="L68" s="31">
        <f t="shared" si="4"/>
        <v>0</v>
      </c>
      <c r="M68" s="71"/>
      <c r="N68" s="22"/>
    </row>
    <row r="69" spans="2:14" ht="9.75">
      <c r="B69" s="16"/>
      <c r="C69" s="69">
        <f t="shared" si="7"/>
        <v>0</v>
      </c>
      <c r="D69" s="2"/>
      <c r="E69" s="29">
        <f t="shared" si="5"/>
        <v>0</v>
      </c>
      <c r="F69" s="52">
        <f t="shared" si="2"/>
        <v>0</v>
      </c>
      <c r="G69" s="145">
        <f t="shared" si="6"/>
        <v>0</v>
      </c>
      <c r="H69" s="22"/>
      <c r="I69" s="91"/>
      <c r="J69" s="101">
        <f t="shared" si="1"/>
        <v>0</v>
      </c>
      <c r="K69" s="102">
        <f t="shared" si="3"/>
        <v>0</v>
      </c>
      <c r="L69" s="31">
        <f t="shared" si="4"/>
        <v>0</v>
      </c>
      <c r="M69" s="71"/>
      <c r="N69" s="22"/>
    </row>
    <row r="70" spans="2:14" ht="9.75">
      <c r="B70" s="16"/>
      <c r="C70" s="69">
        <f t="shared" si="7"/>
        <v>0</v>
      </c>
      <c r="D70" s="2"/>
      <c r="E70" s="29">
        <f t="shared" si="5"/>
        <v>0</v>
      </c>
      <c r="F70" s="52">
        <f t="shared" si="2"/>
        <v>0</v>
      </c>
      <c r="G70" s="145">
        <f t="shared" si="6"/>
        <v>0</v>
      </c>
      <c r="H70" s="22"/>
      <c r="I70" s="91"/>
      <c r="J70" s="101">
        <f t="shared" si="1"/>
        <v>0</v>
      </c>
      <c r="K70" s="102">
        <f t="shared" si="3"/>
        <v>0</v>
      </c>
      <c r="L70" s="31">
        <f t="shared" si="4"/>
        <v>0</v>
      </c>
      <c r="M70" s="71"/>
      <c r="N70" s="22"/>
    </row>
    <row r="71" spans="2:14" ht="9.75">
      <c r="B71" s="16"/>
      <c r="C71" s="69">
        <f t="shared" si="7"/>
        <v>0</v>
      </c>
      <c r="D71" s="2"/>
      <c r="E71" s="29">
        <f t="shared" si="5"/>
        <v>0</v>
      </c>
      <c r="F71" s="52">
        <f t="shared" si="2"/>
        <v>0</v>
      </c>
      <c r="G71" s="145">
        <f t="shared" si="6"/>
        <v>0</v>
      </c>
      <c r="H71" s="22"/>
      <c r="I71" s="91"/>
      <c r="J71" s="101">
        <f t="shared" si="1"/>
        <v>0</v>
      </c>
      <c r="K71" s="102">
        <f t="shared" si="3"/>
        <v>0</v>
      </c>
      <c r="L71" s="31">
        <f t="shared" si="4"/>
        <v>0</v>
      </c>
      <c r="M71" s="71"/>
      <c r="N71" s="22"/>
    </row>
    <row r="72" spans="2:14" ht="9.75">
      <c r="B72" s="16"/>
      <c r="C72" s="69">
        <f t="shared" si="7"/>
        <v>0</v>
      </c>
      <c r="D72" s="2"/>
      <c r="E72" s="29">
        <f t="shared" si="5"/>
        <v>0</v>
      </c>
      <c r="F72" s="52">
        <f t="shared" si="2"/>
        <v>0</v>
      </c>
      <c r="G72" s="145">
        <f t="shared" si="6"/>
        <v>0</v>
      </c>
      <c r="H72" s="22"/>
      <c r="I72" s="91"/>
      <c r="J72" s="101">
        <f t="shared" si="1"/>
        <v>0</v>
      </c>
      <c r="K72" s="102">
        <f t="shared" si="3"/>
        <v>0</v>
      </c>
      <c r="L72" s="31">
        <f t="shared" si="4"/>
        <v>0</v>
      </c>
      <c r="M72" s="71"/>
      <c r="N72" s="22"/>
    </row>
    <row r="73" spans="2:17" ht="9.75">
      <c r="B73" s="16"/>
      <c r="C73" s="69">
        <f t="shared" si="7"/>
        <v>0</v>
      </c>
      <c r="D73" s="2"/>
      <c r="E73" s="29">
        <f t="shared" si="5"/>
        <v>0</v>
      </c>
      <c r="F73" s="52">
        <f t="shared" si="2"/>
        <v>0</v>
      </c>
      <c r="G73" s="145">
        <f t="shared" si="6"/>
        <v>0</v>
      </c>
      <c r="H73" s="22"/>
      <c r="I73" s="91"/>
      <c r="J73" s="101">
        <f t="shared" si="1"/>
        <v>0</v>
      </c>
      <c r="K73" s="102">
        <f t="shared" si="3"/>
        <v>0</v>
      </c>
      <c r="L73" s="31">
        <f t="shared" si="4"/>
        <v>0</v>
      </c>
      <c r="M73" s="71"/>
      <c r="N73" s="22"/>
      <c r="Q73" s="122"/>
    </row>
    <row r="74" spans="2:14" ht="9.75">
      <c r="B74" s="16"/>
      <c r="C74" s="69">
        <f t="shared" si="7"/>
        <v>0</v>
      </c>
      <c r="D74" s="2"/>
      <c r="E74" s="29">
        <f t="shared" si="5"/>
        <v>0</v>
      </c>
      <c r="F74" s="52">
        <f t="shared" si="2"/>
        <v>0</v>
      </c>
      <c r="G74" s="145">
        <f t="shared" si="6"/>
        <v>0</v>
      </c>
      <c r="H74" s="22"/>
      <c r="I74" s="91"/>
      <c r="J74" s="101">
        <f t="shared" si="1"/>
        <v>0</v>
      </c>
      <c r="K74" s="102">
        <f t="shared" si="3"/>
        <v>0</v>
      </c>
      <c r="L74" s="31">
        <f t="shared" si="4"/>
        <v>0</v>
      </c>
      <c r="M74" s="71"/>
      <c r="N74" s="22"/>
    </row>
    <row r="75" spans="2:14" ht="9.75">
      <c r="B75" s="16"/>
      <c r="C75" s="69">
        <f t="shared" si="7"/>
        <v>0</v>
      </c>
      <c r="D75" s="2"/>
      <c r="E75" s="29">
        <f t="shared" si="5"/>
        <v>0</v>
      </c>
      <c r="F75" s="52">
        <f t="shared" si="2"/>
        <v>0</v>
      </c>
      <c r="G75" s="145">
        <f t="shared" si="6"/>
        <v>0</v>
      </c>
      <c r="H75" s="22"/>
      <c r="I75" s="91"/>
      <c r="J75" s="101">
        <f t="shared" si="1"/>
        <v>0</v>
      </c>
      <c r="K75" s="102">
        <f t="shared" si="3"/>
        <v>0</v>
      </c>
      <c r="L75" s="31">
        <f t="shared" si="4"/>
        <v>0</v>
      </c>
      <c r="M75" s="71"/>
      <c r="N75" s="22"/>
    </row>
    <row r="76" spans="2:14" ht="9.75">
      <c r="B76" s="16"/>
      <c r="C76" s="69">
        <f t="shared" si="7"/>
        <v>0</v>
      </c>
      <c r="D76" s="2"/>
      <c r="E76" s="29">
        <f t="shared" si="5"/>
        <v>0</v>
      </c>
      <c r="F76" s="52">
        <f t="shared" si="2"/>
        <v>0</v>
      </c>
      <c r="G76" s="145">
        <f t="shared" si="6"/>
        <v>0</v>
      </c>
      <c r="H76" s="22"/>
      <c r="I76" s="91"/>
      <c r="J76" s="101">
        <f t="shared" si="1"/>
        <v>0</v>
      </c>
      <c r="K76" s="102">
        <f t="shared" si="3"/>
        <v>0</v>
      </c>
      <c r="L76" s="31">
        <f t="shared" si="4"/>
        <v>0</v>
      </c>
      <c r="M76" s="71"/>
      <c r="N76" s="22"/>
    </row>
    <row r="77" spans="2:14" ht="9.75">
      <c r="B77" s="16"/>
      <c r="C77" s="69">
        <f t="shared" si="7"/>
        <v>0</v>
      </c>
      <c r="D77" s="2"/>
      <c r="E77" s="29">
        <f t="shared" si="5"/>
        <v>0</v>
      </c>
      <c r="F77" s="52">
        <f t="shared" si="2"/>
        <v>0</v>
      </c>
      <c r="G77" s="145">
        <f t="shared" si="6"/>
        <v>0</v>
      </c>
      <c r="H77" s="22"/>
      <c r="I77" s="91"/>
      <c r="J77" s="101">
        <f t="shared" si="1"/>
        <v>0</v>
      </c>
      <c r="K77" s="102">
        <f t="shared" si="3"/>
        <v>0</v>
      </c>
      <c r="L77" s="31">
        <f t="shared" si="4"/>
        <v>0</v>
      </c>
      <c r="M77" s="71"/>
      <c r="N77" s="22"/>
    </row>
    <row r="78" spans="2:14" ht="9.75">
      <c r="B78" s="16"/>
      <c r="C78" s="69">
        <f t="shared" si="7"/>
        <v>0</v>
      </c>
      <c r="D78" s="2"/>
      <c r="E78" s="29">
        <f t="shared" si="5"/>
        <v>0</v>
      </c>
      <c r="F78" s="52">
        <f t="shared" si="2"/>
        <v>0</v>
      </c>
      <c r="G78" s="145">
        <f t="shared" si="6"/>
        <v>0</v>
      </c>
      <c r="H78" s="22"/>
      <c r="I78" s="91"/>
      <c r="J78" s="101">
        <f t="shared" si="1"/>
        <v>0</v>
      </c>
      <c r="K78" s="102">
        <f t="shared" si="3"/>
        <v>0</v>
      </c>
      <c r="L78" s="31">
        <f t="shared" si="4"/>
        <v>0</v>
      </c>
      <c r="M78" s="71"/>
      <c r="N78" s="22"/>
    </row>
    <row r="79" spans="2:14" ht="9.75">
      <c r="B79" s="16"/>
      <c r="C79" s="69">
        <f t="shared" si="7"/>
        <v>0</v>
      </c>
      <c r="D79" s="2"/>
      <c r="E79" s="29">
        <f t="shared" si="5"/>
        <v>0</v>
      </c>
      <c r="F79" s="52">
        <f t="shared" si="2"/>
        <v>0</v>
      </c>
      <c r="G79" s="145">
        <f t="shared" si="6"/>
        <v>0</v>
      </c>
      <c r="H79" s="22"/>
      <c r="I79" s="91"/>
      <c r="J79" s="101">
        <f t="shared" si="1"/>
        <v>0</v>
      </c>
      <c r="K79" s="102">
        <f t="shared" si="3"/>
        <v>0</v>
      </c>
      <c r="L79" s="31">
        <f t="shared" si="4"/>
        <v>0</v>
      </c>
      <c r="M79" s="71"/>
      <c r="N79" s="22"/>
    </row>
    <row r="80" spans="2:14" ht="9.75">
      <c r="B80" s="16"/>
      <c r="C80" s="69">
        <f t="shared" si="7"/>
        <v>0</v>
      </c>
      <c r="D80" s="2"/>
      <c r="E80" s="29">
        <f t="shared" si="5"/>
        <v>0</v>
      </c>
      <c r="F80" s="52">
        <f t="shared" si="2"/>
        <v>0</v>
      </c>
      <c r="G80" s="145">
        <f t="shared" si="6"/>
        <v>0</v>
      </c>
      <c r="H80" s="22"/>
      <c r="I80" s="91"/>
      <c r="J80" s="101">
        <f t="shared" si="1"/>
        <v>0</v>
      </c>
      <c r="K80" s="102">
        <f t="shared" si="3"/>
        <v>0</v>
      </c>
      <c r="L80" s="31">
        <f t="shared" si="4"/>
        <v>0</v>
      </c>
      <c r="M80" s="71"/>
      <c r="N80" s="22"/>
    </row>
    <row r="81" spans="2:14" ht="9.75">
      <c r="B81" s="16"/>
      <c r="C81" s="69">
        <f t="shared" si="7"/>
        <v>0</v>
      </c>
      <c r="D81" s="2"/>
      <c r="E81" s="29">
        <f t="shared" si="5"/>
        <v>0</v>
      </c>
      <c r="F81" s="52">
        <f t="shared" si="2"/>
        <v>0</v>
      </c>
      <c r="G81" s="145">
        <f t="shared" si="6"/>
        <v>0</v>
      </c>
      <c r="H81" s="22"/>
      <c r="I81" s="91"/>
      <c r="J81" s="101">
        <f t="shared" si="1"/>
        <v>0</v>
      </c>
      <c r="K81" s="102">
        <f t="shared" si="3"/>
        <v>0</v>
      </c>
      <c r="L81" s="31">
        <f t="shared" si="4"/>
        <v>0</v>
      </c>
      <c r="M81" s="71"/>
      <c r="N81" s="22"/>
    </row>
    <row r="82" spans="2:14" ht="9.75">
      <c r="B82" s="16"/>
      <c r="C82" s="69">
        <f t="shared" si="7"/>
        <v>0</v>
      </c>
      <c r="D82" s="2"/>
      <c r="E82" s="29">
        <f t="shared" si="5"/>
        <v>0</v>
      </c>
      <c r="F82" s="52">
        <f t="shared" si="2"/>
        <v>0</v>
      </c>
      <c r="G82" s="145">
        <f t="shared" si="6"/>
        <v>0</v>
      </c>
      <c r="H82" s="22"/>
      <c r="I82" s="91"/>
      <c r="J82" s="101">
        <f t="shared" si="1"/>
        <v>0</v>
      </c>
      <c r="K82" s="102">
        <f t="shared" si="3"/>
        <v>0</v>
      </c>
      <c r="L82" s="31">
        <f t="shared" si="4"/>
        <v>0</v>
      </c>
      <c r="M82" s="71"/>
      <c r="N82" s="22"/>
    </row>
    <row r="83" spans="2:14" ht="9.75">
      <c r="B83" s="16"/>
      <c r="C83" s="69">
        <f t="shared" si="7"/>
        <v>0</v>
      </c>
      <c r="D83" s="2"/>
      <c r="E83" s="29">
        <f t="shared" si="5"/>
        <v>0</v>
      </c>
      <c r="F83" s="52">
        <f t="shared" si="2"/>
        <v>0</v>
      </c>
      <c r="G83" s="145">
        <f t="shared" si="6"/>
        <v>0</v>
      </c>
      <c r="H83" s="22"/>
      <c r="I83" s="91"/>
      <c r="J83" s="101">
        <f t="shared" si="1"/>
        <v>0</v>
      </c>
      <c r="K83" s="102">
        <f t="shared" si="3"/>
        <v>0</v>
      </c>
      <c r="L83" s="31">
        <f t="shared" si="4"/>
        <v>0</v>
      </c>
      <c r="M83" s="71"/>
      <c r="N83" s="22"/>
    </row>
    <row r="84" spans="2:14" ht="9.75">
      <c r="B84" s="16"/>
      <c r="C84" s="69">
        <f t="shared" si="7"/>
        <v>0</v>
      </c>
      <c r="D84" s="2"/>
      <c r="E84" s="29">
        <f t="shared" si="5"/>
        <v>0</v>
      </c>
      <c r="F84" s="52">
        <f t="shared" si="2"/>
        <v>0</v>
      </c>
      <c r="G84" s="145">
        <f t="shared" si="6"/>
        <v>0</v>
      </c>
      <c r="H84" s="22"/>
      <c r="I84" s="91"/>
      <c r="J84" s="101">
        <f t="shared" si="1"/>
        <v>0</v>
      </c>
      <c r="K84" s="102">
        <f t="shared" si="3"/>
        <v>0</v>
      </c>
      <c r="L84" s="31">
        <f t="shared" si="4"/>
        <v>0</v>
      </c>
      <c r="M84" s="71"/>
      <c r="N84" s="22"/>
    </row>
    <row r="85" spans="2:14" ht="9.75">
      <c r="B85" s="16"/>
      <c r="C85" s="69">
        <f t="shared" si="7"/>
        <v>0</v>
      </c>
      <c r="D85" s="2"/>
      <c r="E85" s="29">
        <f t="shared" si="5"/>
        <v>0</v>
      </c>
      <c r="F85" s="52">
        <f t="shared" si="2"/>
        <v>0</v>
      </c>
      <c r="G85" s="145">
        <f t="shared" si="6"/>
        <v>0</v>
      </c>
      <c r="H85" s="22"/>
      <c r="I85" s="91"/>
      <c r="J85" s="101">
        <f t="shared" si="1"/>
        <v>0</v>
      </c>
      <c r="K85" s="102">
        <f t="shared" si="3"/>
        <v>0</v>
      </c>
      <c r="L85" s="31">
        <f t="shared" si="4"/>
        <v>0</v>
      </c>
      <c r="M85" s="71"/>
      <c r="N85" s="22"/>
    </row>
    <row r="86" spans="2:14" ht="9.75">
      <c r="B86" s="16"/>
      <c r="C86" s="69">
        <f t="shared" si="7"/>
        <v>0</v>
      </c>
      <c r="D86" s="2"/>
      <c r="E86" s="29">
        <f t="shared" si="5"/>
        <v>0</v>
      </c>
      <c r="F86" s="52">
        <f t="shared" si="2"/>
        <v>0</v>
      </c>
      <c r="G86" s="145">
        <f t="shared" si="6"/>
        <v>0</v>
      </c>
      <c r="H86" s="22"/>
      <c r="I86" s="91"/>
      <c r="J86" s="101">
        <f t="shared" si="1"/>
        <v>0</v>
      </c>
      <c r="K86" s="102">
        <f t="shared" si="3"/>
        <v>0</v>
      </c>
      <c r="L86" s="31">
        <f t="shared" si="4"/>
        <v>0</v>
      </c>
      <c r="M86" s="71"/>
      <c r="N86" s="22"/>
    </row>
    <row r="87" spans="2:14" ht="9.75">
      <c r="B87" s="16"/>
      <c r="C87" s="69">
        <f t="shared" si="7"/>
        <v>0</v>
      </c>
      <c r="D87" s="2"/>
      <c r="E87" s="29">
        <f t="shared" si="5"/>
        <v>0</v>
      </c>
      <c r="F87" s="52">
        <f t="shared" si="2"/>
        <v>0</v>
      </c>
      <c r="G87" s="145">
        <f t="shared" si="6"/>
        <v>0</v>
      </c>
      <c r="H87" s="22"/>
      <c r="I87" s="91"/>
      <c r="J87" s="101">
        <f t="shared" si="1"/>
        <v>0</v>
      </c>
      <c r="K87" s="102">
        <f t="shared" si="3"/>
        <v>0</v>
      </c>
      <c r="L87" s="31">
        <f t="shared" si="4"/>
        <v>0</v>
      </c>
      <c r="M87" s="71"/>
      <c r="N87" s="22"/>
    </row>
    <row r="88" spans="2:14" ht="9.75">
      <c r="B88" s="16"/>
      <c r="C88" s="69">
        <f t="shared" si="7"/>
        <v>0</v>
      </c>
      <c r="D88" s="2"/>
      <c r="E88" s="29">
        <f t="shared" si="5"/>
        <v>0</v>
      </c>
      <c r="F88" s="52">
        <f t="shared" si="2"/>
        <v>0</v>
      </c>
      <c r="G88" s="145">
        <f t="shared" si="6"/>
        <v>0</v>
      </c>
      <c r="H88" s="22"/>
      <c r="I88" s="91"/>
      <c r="J88" s="101">
        <f t="shared" si="1"/>
        <v>0</v>
      </c>
      <c r="K88" s="102">
        <f t="shared" si="3"/>
        <v>0</v>
      </c>
      <c r="L88" s="31">
        <f t="shared" si="4"/>
        <v>0</v>
      </c>
      <c r="M88" s="71"/>
      <c r="N88" s="22"/>
    </row>
    <row r="89" spans="2:14" ht="9.75">
      <c r="B89" s="16"/>
      <c r="C89" s="69">
        <f t="shared" si="7"/>
        <v>0</v>
      </c>
      <c r="D89" s="2"/>
      <c r="E89" s="29">
        <f t="shared" si="5"/>
        <v>0</v>
      </c>
      <c r="F89" s="52">
        <f t="shared" si="2"/>
        <v>0</v>
      </c>
      <c r="G89" s="145">
        <f t="shared" si="6"/>
        <v>0</v>
      </c>
      <c r="H89" s="22"/>
      <c r="I89" s="91"/>
      <c r="J89" s="101">
        <f t="shared" si="1"/>
        <v>0</v>
      </c>
      <c r="K89" s="102">
        <f t="shared" si="3"/>
        <v>0</v>
      </c>
      <c r="L89" s="31">
        <f t="shared" si="4"/>
        <v>0</v>
      </c>
      <c r="M89" s="71"/>
      <c r="N89" s="22"/>
    </row>
    <row r="90" spans="2:14" ht="9.75">
      <c r="B90" s="16"/>
      <c r="C90" s="69">
        <f t="shared" si="7"/>
        <v>0</v>
      </c>
      <c r="D90" s="2"/>
      <c r="E90" s="29">
        <f t="shared" si="5"/>
        <v>0</v>
      </c>
      <c r="F90" s="52">
        <f t="shared" si="2"/>
        <v>0</v>
      </c>
      <c r="G90" s="145">
        <f t="shared" si="6"/>
        <v>0</v>
      </c>
      <c r="H90" s="22"/>
      <c r="I90" s="91"/>
      <c r="J90" s="101">
        <f t="shared" si="1"/>
        <v>0</v>
      </c>
      <c r="K90" s="102">
        <f t="shared" si="3"/>
        <v>0</v>
      </c>
      <c r="L90" s="31">
        <f t="shared" si="4"/>
        <v>0</v>
      </c>
      <c r="M90" s="71"/>
      <c r="N90" s="22"/>
    </row>
    <row r="91" spans="2:14" ht="9.75">
      <c r="B91" s="16"/>
      <c r="C91" s="69">
        <f t="shared" si="7"/>
        <v>0</v>
      </c>
      <c r="D91" s="2"/>
      <c r="E91" s="29">
        <f t="shared" si="5"/>
        <v>0</v>
      </c>
      <c r="F91" s="52">
        <f t="shared" si="2"/>
        <v>0</v>
      </c>
      <c r="G91" s="145">
        <f t="shared" si="6"/>
        <v>0</v>
      </c>
      <c r="H91" s="22"/>
      <c r="I91" s="91"/>
      <c r="J91" s="101">
        <f t="shared" si="1"/>
        <v>0</v>
      </c>
      <c r="K91" s="102">
        <f t="shared" si="3"/>
        <v>0</v>
      </c>
      <c r="L91" s="31">
        <f t="shared" si="4"/>
        <v>0</v>
      </c>
      <c r="M91" s="71"/>
      <c r="N91" s="22"/>
    </row>
    <row r="92" spans="2:14" ht="9.75">
      <c r="B92" s="16"/>
      <c r="C92" s="69">
        <f t="shared" si="7"/>
        <v>0</v>
      </c>
      <c r="D92" s="2"/>
      <c r="E92" s="29">
        <f t="shared" si="5"/>
        <v>0</v>
      </c>
      <c r="F92" s="52">
        <f t="shared" si="2"/>
        <v>0</v>
      </c>
      <c r="G92" s="145">
        <f t="shared" si="6"/>
        <v>0</v>
      </c>
      <c r="H92" s="22"/>
      <c r="I92" s="91"/>
      <c r="J92" s="101">
        <f t="shared" si="1"/>
        <v>0</v>
      </c>
      <c r="K92" s="102">
        <f t="shared" si="3"/>
        <v>0</v>
      </c>
      <c r="L92" s="31">
        <f t="shared" si="4"/>
        <v>0</v>
      </c>
      <c r="M92" s="71"/>
      <c r="N92" s="22"/>
    </row>
    <row r="93" spans="2:14" ht="9.75">
      <c r="B93" s="16"/>
      <c r="C93" s="69">
        <f t="shared" si="7"/>
        <v>0</v>
      </c>
      <c r="D93" s="2"/>
      <c r="E93" s="29">
        <f t="shared" si="5"/>
        <v>0</v>
      </c>
      <c r="F93" s="52">
        <f t="shared" si="2"/>
        <v>0</v>
      </c>
      <c r="G93" s="145">
        <f t="shared" si="6"/>
        <v>0</v>
      </c>
      <c r="H93" s="22"/>
      <c r="I93" s="91"/>
      <c r="J93" s="101">
        <f t="shared" si="1"/>
        <v>0</v>
      </c>
      <c r="K93" s="102">
        <f t="shared" si="3"/>
        <v>0</v>
      </c>
      <c r="L93" s="31">
        <f t="shared" si="4"/>
        <v>0</v>
      </c>
      <c r="M93" s="71"/>
      <c r="N93" s="22"/>
    </row>
    <row r="94" spans="2:14" ht="9.75">
      <c r="B94" s="16"/>
      <c r="C94" s="69">
        <f t="shared" si="7"/>
        <v>0</v>
      </c>
      <c r="D94" s="2"/>
      <c r="E94" s="29">
        <f t="shared" si="5"/>
        <v>0</v>
      </c>
      <c r="F94" s="52">
        <f t="shared" si="2"/>
        <v>0</v>
      </c>
      <c r="G94" s="145">
        <f t="shared" si="6"/>
        <v>0</v>
      </c>
      <c r="H94" s="22"/>
      <c r="I94" s="91"/>
      <c r="J94" s="101">
        <f t="shared" si="1"/>
        <v>0</v>
      </c>
      <c r="K94" s="102">
        <f t="shared" si="3"/>
        <v>0</v>
      </c>
      <c r="L94" s="31">
        <f t="shared" si="4"/>
        <v>0</v>
      </c>
      <c r="M94" s="71"/>
      <c r="N94" s="22"/>
    </row>
    <row r="95" spans="2:14" ht="9.75">
      <c r="B95" s="16"/>
      <c r="C95" s="69">
        <f t="shared" si="7"/>
        <v>0</v>
      </c>
      <c r="D95" s="2"/>
      <c r="E95" s="29">
        <f t="shared" si="5"/>
        <v>0</v>
      </c>
      <c r="F95" s="52">
        <f t="shared" si="2"/>
        <v>0</v>
      </c>
      <c r="G95" s="145">
        <f t="shared" si="6"/>
        <v>0</v>
      </c>
      <c r="H95" s="22"/>
      <c r="I95" s="91"/>
      <c r="J95" s="101">
        <f t="shared" si="1"/>
        <v>0</v>
      </c>
      <c r="K95" s="102">
        <f t="shared" si="3"/>
        <v>0</v>
      </c>
      <c r="L95" s="31">
        <f t="shared" si="4"/>
        <v>0</v>
      </c>
      <c r="M95" s="71"/>
      <c r="N95" s="22"/>
    </row>
    <row r="96" spans="2:14" ht="9.75">
      <c r="B96" s="16"/>
      <c r="C96" s="69">
        <f t="shared" si="7"/>
        <v>0</v>
      </c>
      <c r="D96" s="2"/>
      <c r="E96" s="29">
        <f t="shared" si="5"/>
        <v>0</v>
      </c>
      <c r="F96" s="52">
        <f t="shared" si="2"/>
        <v>0</v>
      </c>
      <c r="G96" s="145">
        <f t="shared" si="6"/>
        <v>0</v>
      </c>
      <c r="H96" s="22"/>
      <c r="I96" s="103"/>
      <c r="J96" s="101">
        <f aca="true" t="shared" si="8" ref="J96:J127">C96</f>
        <v>0</v>
      </c>
      <c r="K96" s="102">
        <f t="shared" si="3"/>
        <v>0</v>
      </c>
      <c r="L96" s="31">
        <f t="shared" si="4"/>
        <v>0</v>
      </c>
      <c r="M96" s="104"/>
      <c r="N96" s="22"/>
    </row>
    <row r="97" spans="2:14" ht="9.75">
      <c r="B97" s="16"/>
      <c r="C97" s="69">
        <f t="shared" si="7"/>
        <v>0</v>
      </c>
      <c r="D97" s="2"/>
      <c r="E97" s="29">
        <f t="shared" si="5"/>
        <v>0</v>
      </c>
      <c r="F97" s="52">
        <f aca="true" t="shared" si="9" ref="F97:F128">IF(AND(C97=0,E97=0),0,IF(AND(C97=$F$9,$F$42=""),E97*100+$F$30,IF(AND(C97&lt;$F$9,$F$42=""),E97*100,IF(C97=$F$42,$F$55+E97*100,E97*100))))</f>
        <v>0</v>
      </c>
      <c r="G97" s="145">
        <f t="shared" si="6"/>
        <v>0</v>
      </c>
      <c r="H97" s="22"/>
      <c r="I97" s="91"/>
      <c r="J97" s="101">
        <f t="shared" si="8"/>
        <v>0</v>
      </c>
      <c r="K97" s="102">
        <f aca="true" t="shared" si="10" ref="K97:K128">IF(J97=0,0,IF(OR(J97=$F$42,J97=$F$9),$K$55,F97*$K$18/100-$K$43))</f>
        <v>0</v>
      </c>
      <c r="L97" s="31">
        <f aca="true" t="shared" si="11" ref="L97:L128">IF(OR(D97=0,J97=0),0,IF(OR(J97=$F$42,J97=$F$9),$L$55,G97*$K$18/100-$L$43))</f>
        <v>0</v>
      </c>
      <c r="M97" s="71"/>
      <c r="N97" s="22"/>
    </row>
    <row r="98" spans="2:14" ht="9.75">
      <c r="B98" s="16"/>
      <c r="C98" s="69">
        <f t="shared" si="7"/>
        <v>0</v>
      </c>
      <c r="D98" s="2"/>
      <c r="E98" s="29">
        <f t="shared" si="5"/>
        <v>0</v>
      </c>
      <c r="F98" s="52">
        <f t="shared" si="9"/>
        <v>0</v>
      </c>
      <c r="G98" s="145">
        <f aca="true" t="shared" si="12" ref="G98:G129">IF(OR(D98=0,D98="",$F$22=0,$F$22=""),0,F98/D98)</f>
        <v>0</v>
      </c>
      <c r="H98" s="22"/>
      <c r="I98" s="91"/>
      <c r="J98" s="101">
        <f t="shared" si="8"/>
        <v>0</v>
      </c>
      <c r="K98" s="102">
        <f t="shared" si="10"/>
        <v>0</v>
      </c>
      <c r="L98" s="31">
        <f t="shared" si="11"/>
        <v>0</v>
      </c>
      <c r="M98" s="71"/>
      <c r="N98" s="22"/>
    </row>
    <row r="99" spans="2:14" ht="9.75">
      <c r="B99" s="16"/>
      <c r="C99" s="69">
        <f aca="true" t="shared" si="13" ref="C99:C130">IF(OR(C98=$F$9,C98=$F$42,C98=0),0,IF(C98=$F$42,0,IF(AND(COUPNCD(C98,$F$9,$F$11,1)&gt;$F$42,$F$42&lt;&gt;""),$F$42,(IF(C98=0,0,IF(C98=$F$9,0,COUPNCD(C98,$F$9,$F$11,1)))))))</f>
        <v>0</v>
      </c>
      <c r="D99" s="2"/>
      <c r="E99" s="29">
        <f t="shared" si="5"/>
        <v>0</v>
      </c>
      <c r="F99" s="52">
        <f t="shared" si="9"/>
        <v>0</v>
      </c>
      <c r="G99" s="145">
        <f t="shared" si="12"/>
        <v>0</v>
      </c>
      <c r="H99" s="22"/>
      <c r="I99" s="91"/>
      <c r="J99" s="101">
        <f t="shared" si="8"/>
        <v>0</v>
      </c>
      <c r="K99" s="102">
        <f t="shared" si="10"/>
        <v>0</v>
      </c>
      <c r="L99" s="31">
        <f t="shared" si="11"/>
        <v>0</v>
      </c>
      <c r="M99" s="71"/>
      <c r="N99" s="22"/>
    </row>
    <row r="100" spans="2:14" ht="9.75">
      <c r="B100" s="16"/>
      <c r="C100" s="69">
        <f t="shared" si="13"/>
        <v>0</v>
      </c>
      <c r="D100" s="2"/>
      <c r="E100" s="29">
        <f t="shared" si="5"/>
        <v>0</v>
      </c>
      <c r="F100" s="52">
        <f t="shared" si="9"/>
        <v>0</v>
      </c>
      <c r="G100" s="145">
        <f t="shared" si="12"/>
        <v>0</v>
      </c>
      <c r="H100" s="22"/>
      <c r="I100" s="91"/>
      <c r="J100" s="101">
        <f t="shared" si="8"/>
        <v>0</v>
      </c>
      <c r="K100" s="102">
        <f t="shared" si="10"/>
        <v>0</v>
      </c>
      <c r="L100" s="31">
        <f t="shared" si="11"/>
        <v>0</v>
      </c>
      <c r="M100" s="71"/>
      <c r="N100" s="22"/>
    </row>
    <row r="101" spans="2:14" ht="9.75">
      <c r="B101" s="16"/>
      <c r="C101" s="69">
        <f t="shared" si="13"/>
        <v>0</v>
      </c>
      <c r="D101" s="2"/>
      <c r="E101" s="29">
        <f t="shared" si="5"/>
        <v>0</v>
      </c>
      <c r="F101" s="52">
        <f t="shared" si="9"/>
        <v>0</v>
      </c>
      <c r="G101" s="145">
        <f t="shared" si="12"/>
        <v>0</v>
      </c>
      <c r="H101" s="22"/>
      <c r="I101" s="91"/>
      <c r="J101" s="101">
        <f t="shared" si="8"/>
        <v>0</v>
      </c>
      <c r="K101" s="102">
        <f t="shared" si="10"/>
        <v>0</v>
      </c>
      <c r="L101" s="31">
        <f t="shared" si="11"/>
        <v>0</v>
      </c>
      <c r="M101" s="71"/>
      <c r="N101" s="22"/>
    </row>
    <row r="102" spans="2:14" ht="9.75">
      <c r="B102" s="16"/>
      <c r="C102" s="69">
        <f t="shared" si="13"/>
        <v>0</v>
      </c>
      <c r="D102" s="2"/>
      <c r="E102" s="29">
        <f t="shared" si="5"/>
        <v>0</v>
      </c>
      <c r="F102" s="52">
        <f t="shared" si="9"/>
        <v>0</v>
      </c>
      <c r="G102" s="145">
        <f t="shared" si="12"/>
        <v>0</v>
      </c>
      <c r="H102" s="22"/>
      <c r="I102" s="91"/>
      <c r="J102" s="101">
        <f t="shared" si="8"/>
        <v>0</v>
      </c>
      <c r="K102" s="102">
        <f t="shared" si="10"/>
        <v>0</v>
      </c>
      <c r="L102" s="31">
        <f t="shared" si="11"/>
        <v>0</v>
      </c>
      <c r="M102" s="71"/>
      <c r="N102" s="22"/>
    </row>
    <row r="103" spans="2:14" ht="9.75">
      <c r="B103" s="16"/>
      <c r="C103" s="69">
        <f t="shared" si="13"/>
        <v>0</v>
      </c>
      <c r="D103" s="2"/>
      <c r="E103" s="29">
        <f t="shared" si="5"/>
        <v>0</v>
      </c>
      <c r="F103" s="52">
        <f t="shared" si="9"/>
        <v>0</v>
      </c>
      <c r="G103" s="145">
        <f t="shared" si="12"/>
        <v>0</v>
      </c>
      <c r="H103" s="22"/>
      <c r="I103" s="91"/>
      <c r="J103" s="101">
        <f t="shared" si="8"/>
        <v>0</v>
      </c>
      <c r="K103" s="102">
        <f t="shared" si="10"/>
        <v>0</v>
      </c>
      <c r="L103" s="31">
        <f t="shared" si="11"/>
        <v>0</v>
      </c>
      <c r="M103" s="71"/>
      <c r="N103" s="22"/>
    </row>
    <row r="104" spans="2:14" ht="9.75">
      <c r="B104" s="16"/>
      <c r="C104" s="69">
        <f t="shared" si="13"/>
        <v>0</v>
      </c>
      <c r="D104" s="2"/>
      <c r="E104" s="29">
        <f t="shared" si="5"/>
        <v>0</v>
      </c>
      <c r="F104" s="52">
        <f t="shared" si="9"/>
        <v>0</v>
      </c>
      <c r="G104" s="145">
        <f t="shared" si="12"/>
        <v>0</v>
      </c>
      <c r="H104" s="22"/>
      <c r="I104" s="91"/>
      <c r="J104" s="101">
        <f t="shared" si="8"/>
        <v>0</v>
      </c>
      <c r="K104" s="102">
        <f t="shared" si="10"/>
        <v>0</v>
      </c>
      <c r="L104" s="31">
        <f t="shared" si="11"/>
        <v>0</v>
      </c>
      <c r="M104" s="71"/>
      <c r="N104" s="22"/>
    </row>
    <row r="105" spans="2:14" ht="9.75">
      <c r="B105" s="16"/>
      <c r="C105" s="69">
        <f t="shared" si="13"/>
        <v>0</v>
      </c>
      <c r="D105" s="2"/>
      <c r="E105" s="29">
        <f t="shared" si="5"/>
        <v>0</v>
      </c>
      <c r="F105" s="52">
        <f t="shared" si="9"/>
        <v>0</v>
      </c>
      <c r="G105" s="145">
        <f t="shared" si="12"/>
        <v>0</v>
      </c>
      <c r="H105" s="22"/>
      <c r="I105" s="91"/>
      <c r="J105" s="101">
        <f t="shared" si="8"/>
        <v>0</v>
      </c>
      <c r="K105" s="102">
        <f t="shared" si="10"/>
        <v>0</v>
      </c>
      <c r="L105" s="31">
        <f t="shared" si="11"/>
        <v>0</v>
      </c>
      <c r="M105" s="71"/>
      <c r="N105" s="22"/>
    </row>
    <row r="106" spans="2:14" ht="9.75">
      <c r="B106" s="16"/>
      <c r="C106" s="69">
        <f t="shared" si="13"/>
        <v>0</v>
      </c>
      <c r="D106" s="2"/>
      <c r="E106" s="29">
        <f t="shared" si="5"/>
        <v>0</v>
      </c>
      <c r="F106" s="52">
        <f t="shared" si="9"/>
        <v>0</v>
      </c>
      <c r="G106" s="145">
        <f t="shared" si="12"/>
        <v>0</v>
      </c>
      <c r="H106" s="22"/>
      <c r="I106" s="91"/>
      <c r="J106" s="101">
        <f t="shared" si="8"/>
        <v>0</v>
      </c>
      <c r="K106" s="102">
        <f t="shared" si="10"/>
        <v>0</v>
      </c>
      <c r="L106" s="31">
        <f t="shared" si="11"/>
        <v>0</v>
      </c>
      <c r="M106" s="71"/>
      <c r="N106" s="22"/>
    </row>
    <row r="107" spans="2:14" ht="9.75">
      <c r="B107" s="16"/>
      <c r="C107" s="69">
        <f t="shared" si="13"/>
        <v>0</v>
      </c>
      <c r="D107" s="2"/>
      <c r="E107" s="29">
        <f t="shared" si="5"/>
        <v>0</v>
      </c>
      <c r="F107" s="52">
        <f t="shared" si="9"/>
        <v>0</v>
      </c>
      <c r="G107" s="145">
        <f t="shared" si="12"/>
        <v>0</v>
      </c>
      <c r="H107" s="22"/>
      <c r="I107" s="91"/>
      <c r="J107" s="101">
        <f t="shared" si="8"/>
        <v>0</v>
      </c>
      <c r="K107" s="102">
        <f t="shared" si="10"/>
        <v>0</v>
      </c>
      <c r="L107" s="31">
        <f t="shared" si="11"/>
        <v>0</v>
      </c>
      <c r="M107" s="71"/>
      <c r="N107" s="22"/>
    </row>
    <row r="108" spans="2:14" ht="9.75">
      <c r="B108" s="16"/>
      <c r="C108" s="69">
        <f t="shared" si="13"/>
        <v>0</v>
      </c>
      <c r="D108" s="2"/>
      <c r="E108" s="29">
        <f t="shared" si="5"/>
        <v>0</v>
      </c>
      <c r="F108" s="52">
        <f t="shared" si="9"/>
        <v>0</v>
      </c>
      <c r="G108" s="145">
        <f t="shared" si="12"/>
        <v>0</v>
      </c>
      <c r="H108" s="22"/>
      <c r="I108" s="91"/>
      <c r="J108" s="101">
        <f t="shared" si="8"/>
        <v>0</v>
      </c>
      <c r="K108" s="102">
        <f t="shared" si="10"/>
        <v>0</v>
      </c>
      <c r="L108" s="31">
        <f t="shared" si="11"/>
        <v>0</v>
      </c>
      <c r="M108" s="71"/>
      <c r="N108" s="22"/>
    </row>
    <row r="109" spans="2:14" ht="9.75">
      <c r="B109" s="16"/>
      <c r="C109" s="69">
        <f t="shared" si="13"/>
        <v>0</v>
      </c>
      <c r="D109" s="2"/>
      <c r="E109" s="29">
        <f t="shared" si="5"/>
        <v>0</v>
      </c>
      <c r="F109" s="52">
        <f t="shared" si="9"/>
        <v>0</v>
      </c>
      <c r="G109" s="145">
        <f t="shared" si="12"/>
        <v>0</v>
      </c>
      <c r="H109" s="22"/>
      <c r="I109" s="91"/>
      <c r="J109" s="101">
        <f t="shared" si="8"/>
        <v>0</v>
      </c>
      <c r="K109" s="102">
        <f t="shared" si="10"/>
        <v>0</v>
      </c>
      <c r="L109" s="31">
        <f t="shared" si="11"/>
        <v>0</v>
      </c>
      <c r="M109" s="71"/>
      <c r="N109" s="22"/>
    </row>
    <row r="110" spans="2:14" ht="9.75">
      <c r="B110" s="16"/>
      <c r="C110" s="69">
        <f t="shared" si="13"/>
        <v>0</v>
      </c>
      <c r="D110" s="2"/>
      <c r="E110" s="29">
        <f t="shared" si="5"/>
        <v>0</v>
      </c>
      <c r="F110" s="52">
        <f t="shared" si="9"/>
        <v>0</v>
      </c>
      <c r="G110" s="145">
        <f t="shared" si="12"/>
        <v>0</v>
      </c>
      <c r="H110" s="22"/>
      <c r="I110" s="91"/>
      <c r="J110" s="101">
        <f t="shared" si="8"/>
        <v>0</v>
      </c>
      <c r="K110" s="102">
        <f t="shared" si="10"/>
        <v>0</v>
      </c>
      <c r="L110" s="31">
        <f t="shared" si="11"/>
        <v>0</v>
      </c>
      <c r="M110" s="71"/>
      <c r="N110" s="22"/>
    </row>
    <row r="111" spans="2:14" ht="9.75">
      <c r="B111" s="16"/>
      <c r="C111" s="69">
        <f t="shared" si="13"/>
        <v>0</v>
      </c>
      <c r="D111" s="2"/>
      <c r="E111" s="29">
        <f t="shared" si="5"/>
        <v>0</v>
      </c>
      <c r="F111" s="52">
        <f t="shared" si="9"/>
        <v>0</v>
      </c>
      <c r="G111" s="145">
        <f t="shared" si="12"/>
        <v>0</v>
      </c>
      <c r="H111" s="22"/>
      <c r="I111" s="91"/>
      <c r="J111" s="101">
        <f t="shared" si="8"/>
        <v>0</v>
      </c>
      <c r="K111" s="102">
        <f t="shared" si="10"/>
        <v>0</v>
      </c>
      <c r="L111" s="31">
        <f t="shared" si="11"/>
        <v>0</v>
      </c>
      <c r="M111" s="71"/>
      <c r="N111" s="22"/>
    </row>
    <row r="112" spans="2:14" ht="9.75">
      <c r="B112" s="16"/>
      <c r="C112" s="69">
        <f t="shared" si="13"/>
        <v>0</v>
      </c>
      <c r="D112" s="2"/>
      <c r="E112" s="29">
        <f t="shared" si="5"/>
        <v>0</v>
      </c>
      <c r="F112" s="52">
        <f t="shared" si="9"/>
        <v>0</v>
      </c>
      <c r="G112" s="145">
        <f t="shared" si="12"/>
        <v>0</v>
      </c>
      <c r="H112" s="22"/>
      <c r="I112" s="91"/>
      <c r="J112" s="101">
        <f t="shared" si="8"/>
        <v>0</v>
      </c>
      <c r="K112" s="102">
        <f t="shared" si="10"/>
        <v>0</v>
      </c>
      <c r="L112" s="31">
        <f t="shared" si="11"/>
        <v>0</v>
      </c>
      <c r="M112" s="71"/>
      <c r="N112" s="22"/>
    </row>
    <row r="113" spans="2:14" ht="9.75">
      <c r="B113" s="16"/>
      <c r="C113" s="69">
        <f t="shared" si="13"/>
        <v>0</v>
      </c>
      <c r="D113" s="2"/>
      <c r="E113" s="29">
        <f t="shared" si="5"/>
        <v>0</v>
      </c>
      <c r="F113" s="52">
        <f t="shared" si="9"/>
        <v>0</v>
      </c>
      <c r="G113" s="145">
        <f t="shared" si="12"/>
        <v>0</v>
      </c>
      <c r="H113" s="22"/>
      <c r="I113" s="91"/>
      <c r="J113" s="101">
        <f t="shared" si="8"/>
        <v>0</v>
      </c>
      <c r="K113" s="102">
        <f t="shared" si="10"/>
        <v>0</v>
      </c>
      <c r="L113" s="31">
        <f t="shared" si="11"/>
        <v>0</v>
      </c>
      <c r="M113" s="71"/>
      <c r="N113" s="22"/>
    </row>
    <row r="114" spans="2:14" ht="9.75">
      <c r="B114" s="16"/>
      <c r="C114" s="69">
        <f t="shared" si="13"/>
        <v>0</v>
      </c>
      <c r="D114" s="2"/>
      <c r="E114" s="29">
        <f t="shared" si="5"/>
        <v>0</v>
      </c>
      <c r="F114" s="52">
        <f t="shared" si="9"/>
        <v>0</v>
      </c>
      <c r="G114" s="145">
        <f t="shared" si="12"/>
        <v>0</v>
      </c>
      <c r="H114" s="22"/>
      <c r="I114" s="91"/>
      <c r="J114" s="101">
        <f t="shared" si="8"/>
        <v>0</v>
      </c>
      <c r="K114" s="102">
        <f t="shared" si="10"/>
        <v>0</v>
      </c>
      <c r="L114" s="31">
        <f t="shared" si="11"/>
        <v>0</v>
      </c>
      <c r="M114" s="71"/>
      <c r="N114" s="22"/>
    </row>
    <row r="115" spans="2:14" ht="9.75">
      <c r="B115" s="16"/>
      <c r="C115" s="69">
        <f t="shared" si="13"/>
        <v>0</v>
      </c>
      <c r="D115" s="2"/>
      <c r="E115" s="29">
        <f t="shared" si="5"/>
        <v>0</v>
      </c>
      <c r="F115" s="52">
        <f t="shared" si="9"/>
        <v>0</v>
      </c>
      <c r="G115" s="145">
        <f t="shared" si="12"/>
        <v>0</v>
      </c>
      <c r="H115" s="22"/>
      <c r="I115" s="91"/>
      <c r="J115" s="101">
        <f t="shared" si="8"/>
        <v>0</v>
      </c>
      <c r="K115" s="102">
        <f t="shared" si="10"/>
        <v>0</v>
      </c>
      <c r="L115" s="31">
        <f t="shared" si="11"/>
        <v>0</v>
      </c>
      <c r="M115" s="71"/>
      <c r="N115" s="22"/>
    </row>
    <row r="116" spans="2:14" ht="9.75">
      <c r="B116" s="16"/>
      <c r="C116" s="69">
        <f t="shared" si="13"/>
        <v>0</v>
      </c>
      <c r="D116" s="2"/>
      <c r="E116" s="29">
        <f t="shared" si="5"/>
        <v>0</v>
      </c>
      <c r="F116" s="52">
        <f t="shared" si="9"/>
        <v>0</v>
      </c>
      <c r="G116" s="145">
        <f t="shared" si="12"/>
        <v>0</v>
      </c>
      <c r="H116" s="22"/>
      <c r="I116" s="91"/>
      <c r="J116" s="101">
        <f t="shared" si="8"/>
        <v>0</v>
      </c>
      <c r="K116" s="102">
        <f t="shared" si="10"/>
        <v>0</v>
      </c>
      <c r="L116" s="31">
        <f t="shared" si="11"/>
        <v>0</v>
      </c>
      <c r="M116" s="71"/>
      <c r="N116" s="22"/>
    </row>
    <row r="117" spans="2:14" ht="9.75">
      <c r="B117" s="16"/>
      <c r="C117" s="69">
        <f t="shared" si="13"/>
        <v>0</v>
      </c>
      <c r="D117" s="2"/>
      <c r="E117" s="29">
        <f t="shared" si="5"/>
        <v>0</v>
      </c>
      <c r="F117" s="52">
        <f t="shared" si="9"/>
        <v>0</v>
      </c>
      <c r="G117" s="145">
        <f t="shared" si="12"/>
        <v>0</v>
      </c>
      <c r="H117" s="22"/>
      <c r="I117" s="91"/>
      <c r="J117" s="101">
        <f t="shared" si="8"/>
        <v>0</v>
      </c>
      <c r="K117" s="102">
        <f t="shared" si="10"/>
        <v>0</v>
      </c>
      <c r="L117" s="31">
        <f t="shared" si="11"/>
        <v>0</v>
      </c>
      <c r="M117" s="71"/>
      <c r="N117" s="22"/>
    </row>
    <row r="118" spans="2:14" ht="9.75">
      <c r="B118" s="16"/>
      <c r="C118" s="69">
        <f t="shared" si="13"/>
        <v>0</v>
      </c>
      <c r="D118" s="2"/>
      <c r="E118" s="29">
        <f t="shared" si="5"/>
        <v>0</v>
      </c>
      <c r="F118" s="52">
        <f t="shared" si="9"/>
        <v>0</v>
      </c>
      <c r="G118" s="145">
        <f t="shared" si="12"/>
        <v>0</v>
      </c>
      <c r="H118" s="22"/>
      <c r="I118" s="91"/>
      <c r="J118" s="101">
        <f t="shared" si="8"/>
        <v>0</v>
      </c>
      <c r="K118" s="102">
        <f t="shared" si="10"/>
        <v>0</v>
      </c>
      <c r="L118" s="31">
        <f t="shared" si="11"/>
        <v>0</v>
      </c>
      <c r="M118" s="71"/>
      <c r="N118" s="22"/>
    </row>
    <row r="119" spans="2:14" ht="9.75">
      <c r="B119" s="16"/>
      <c r="C119" s="69">
        <f t="shared" si="13"/>
        <v>0</v>
      </c>
      <c r="D119" s="2"/>
      <c r="E119" s="29">
        <f t="shared" si="5"/>
        <v>0</v>
      </c>
      <c r="F119" s="52">
        <f t="shared" si="9"/>
        <v>0</v>
      </c>
      <c r="G119" s="145">
        <f t="shared" si="12"/>
        <v>0</v>
      </c>
      <c r="H119" s="22"/>
      <c r="I119" s="91"/>
      <c r="J119" s="101">
        <f t="shared" si="8"/>
        <v>0</v>
      </c>
      <c r="K119" s="102">
        <f t="shared" si="10"/>
        <v>0</v>
      </c>
      <c r="L119" s="31">
        <f t="shared" si="11"/>
        <v>0</v>
      </c>
      <c r="M119" s="71"/>
      <c r="N119" s="22"/>
    </row>
    <row r="120" spans="2:14" ht="9.75">
      <c r="B120" s="16"/>
      <c r="C120" s="69">
        <f t="shared" si="13"/>
        <v>0</v>
      </c>
      <c r="D120" s="2"/>
      <c r="E120" s="29">
        <f t="shared" si="5"/>
        <v>0</v>
      </c>
      <c r="F120" s="52">
        <f t="shared" si="9"/>
        <v>0</v>
      </c>
      <c r="G120" s="145">
        <f t="shared" si="12"/>
        <v>0</v>
      </c>
      <c r="H120" s="22"/>
      <c r="I120" s="91"/>
      <c r="J120" s="101">
        <f t="shared" si="8"/>
        <v>0</v>
      </c>
      <c r="K120" s="102">
        <f t="shared" si="10"/>
        <v>0</v>
      </c>
      <c r="L120" s="31">
        <f t="shared" si="11"/>
        <v>0</v>
      </c>
      <c r="M120" s="71"/>
      <c r="N120" s="22"/>
    </row>
    <row r="121" spans="2:14" ht="9.75">
      <c r="B121" s="16"/>
      <c r="C121" s="69">
        <f t="shared" si="13"/>
        <v>0</v>
      </c>
      <c r="D121" s="2"/>
      <c r="E121" s="29">
        <f t="shared" si="5"/>
        <v>0</v>
      </c>
      <c r="F121" s="52">
        <f t="shared" si="9"/>
        <v>0</v>
      </c>
      <c r="G121" s="145">
        <f t="shared" si="12"/>
        <v>0</v>
      </c>
      <c r="H121" s="22"/>
      <c r="I121" s="91"/>
      <c r="J121" s="101">
        <f t="shared" si="8"/>
        <v>0</v>
      </c>
      <c r="K121" s="102">
        <f t="shared" si="10"/>
        <v>0</v>
      </c>
      <c r="L121" s="31">
        <f t="shared" si="11"/>
        <v>0</v>
      </c>
      <c r="M121" s="71"/>
      <c r="N121" s="22"/>
    </row>
    <row r="122" spans="2:14" ht="9.75">
      <c r="B122" s="16"/>
      <c r="C122" s="69">
        <f t="shared" si="13"/>
        <v>0</v>
      </c>
      <c r="D122" s="2"/>
      <c r="E122" s="29">
        <f t="shared" si="5"/>
        <v>0</v>
      </c>
      <c r="F122" s="52">
        <f t="shared" si="9"/>
        <v>0</v>
      </c>
      <c r="G122" s="145">
        <f t="shared" si="12"/>
        <v>0</v>
      </c>
      <c r="H122" s="22"/>
      <c r="I122" s="91"/>
      <c r="J122" s="101">
        <f t="shared" si="8"/>
        <v>0</v>
      </c>
      <c r="K122" s="102">
        <f t="shared" si="10"/>
        <v>0</v>
      </c>
      <c r="L122" s="31">
        <f t="shared" si="11"/>
        <v>0</v>
      </c>
      <c r="M122" s="71"/>
      <c r="N122" s="22"/>
    </row>
    <row r="123" spans="2:14" ht="9.75">
      <c r="B123" s="16"/>
      <c r="C123" s="69">
        <f t="shared" si="13"/>
        <v>0</v>
      </c>
      <c r="D123" s="2"/>
      <c r="E123" s="29">
        <f t="shared" si="5"/>
        <v>0</v>
      </c>
      <c r="F123" s="52">
        <f t="shared" si="9"/>
        <v>0</v>
      </c>
      <c r="G123" s="145">
        <f t="shared" si="12"/>
        <v>0</v>
      </c>
      <c r="H123" s="22"/>
      <c r="I123" s="91"/>
      <c r="J123" s="101">
        <f t="shared" si="8"/>
        <v>0</v>
      </c>
      <c r="K123" s="102">
        <f t="shared" si="10"/>
        <v>0</v>
      </c>
      <c r="L123" s="31">
        <f t="shared" si="11"/>
        <v>0</v>
      </c>
      <c r="M123" s="71"/>
      <c r="N123" s="22"/>
    </row>
    <row r="124" spans="2:14" ht="9.75">
      <c r="B124" s="16"/>
      <c r="C124" s="69">
        <f t="shared" si="13"/>
        <v>0</v>
      </c>
      <c r="D124" s="2"/>
      <c r="E124" s="29">
        <f t="shared" si="5"/>
        <v>0</v>
      </c>
      <c r="F124" s="52">
        <f t="shared" si="9"/>
        <v>0</v>
      </c>
      <c r="G124" s="145">
        <f t="shared" si="12"/>
        <v>0</v>
      </c>
      <c r="H124" s="22"/>
      <c r="I124" s="91"/>
      <c r="J124" s="101">
        <f t="shared" si="8"/>
        <v>0</v>
      </c>
      <c r="K124" s="102">
        <f t="shared" si="10"/>
        <v>0</v>
      </c>
      <c r="L124" s="31">
        <f t="shared" si="11"/>
        <v>0</v>
      </c>
      <c r="M124" s="71"/>
      <c r="N124" s="22"/>
    </row>
    <row r="125" spans="2:14" ht="9.75">
      <c r="B125" s="16"/>
      <c r="C125" s="69">
        <f t="shared" si="13"/>
        <v>0</v>
      </c>
      <c r="D125" s="2"/>
      <c r="E125" s="29">
        <f t="shared" si="5"/>
        <v>0</v>
      </c>
      <c r="F125" s="52">
        <f t="shared" si="9"/>
        <v>0</v>
      </c>
      <c r="G125" s="145">
        <f t="shared" si="12"/>
        <v>0</v>
      </c>
      <c r="H125" s="22"/>
      <c r="I125" s="91"/>
      <c r="J125" s="101">
        <f t="shared" si="8"/>
        <v>0</v>
      </c>
      <c r="K125" s="102">
        <f t="shared" si="10"/>
        <v>0</v>
      </c>
      <c r="L125" s="31">
        <f t="shared" si="11"/>
        <v>0</v>
      </c>
      <c r="M125" s="71"/>
      <c r="N125" s="22"/>
    </row>
    <row r="126" spans="2:14" ht="9.75">
      <c r="B126" s="16"/>
      <c r="C126" s="69">
        <f t="shared" si="13"/>
        <v>0</v>
      </c>
      <c r="D126" s="2"/>
      <c r="E126" s="29">
        <f t="shared" si="5"/>
        <v>0</v>
      </c>
      <c r="F126" s="52">
        <f t="shared" si="9"/>
        <v>0</v>
      </c>
      <c r="G126" s="145">
        <f t="shared" si="12"/>
        <v>0</v>
      </c>
      <c r="H126" s="22"/>
      <c r="I126" s="91"/>
      <c r="J126" s="101">
        <f t="shared" si="8"/>
        <v>0</v>
      </c>
      <c r="K126" s="102">
        <f t="shared" si="10"/>
        <v>0</v>
      </c>
      <c r="L126" s="31">
        <f t="shared" si="11"/>
        <v>0</v>
      </c>
      <c r="M126" s="71"/>
      <c r="N126" s="22"/>
    </row>
    <row r="127" spans="2:14" ht="9.75">
      <c r="B127" s="16"/>
      <c r="C127" s="69">
        <f t="shared" si="13"/>
        <v>0</v>
      </c>
      <c r="D127" s="2"/>
      <c r="E127" s="29">
        <f t="shared" si="5"/>
        <v>0</v>
      </c>
      <c r="F127" s="52">
        <f t="shared" si="9"/>
        <v>0</v>
      </c>
      <c r="G127" s="145">
        <f t="shared" si="12"/>
        <v>0</v>
      </c>
      <c r="H127" s="22"/>
      <c r="I127" s="91"/>
      <c r="J127" s="101">
        <f t="shared" si="8"/>
        <v>0</v>
      </c>
      <c r="K127" s="102">
        <f t="shared" si="10"/>
        <v>0</v>
      </c>
      <c r="L127" s="31">
        <f t="shared" si="11"/>
        <v>0</v>
      </c>
      <c r="M127" s="71"/>
      <c r="N127" s="22"/>
    </row>
    <row r="128" spans="2:14" ht="9.75">
      <c r="B128" s="16"/>
      <c r="C128" s="69">
        <f t="shared" si="13"/>
        <v>0</v>
      </c>
      <c r="D128" s="2"/>
      <c r="E128" s="29">
        <f t="shared" si="5"/>
        <v>0</v>
      </c>
      <c r="F128" s="52">
        <f t="shared" si="9"/>
        <v>0</v>
      </c>
      <c r="G128" s="145">
        <f t="shared" si="12"/>
        <v>0</v>
      </c>
      <c r="H128" s="22"/>
      <c r="I128" s="91"/>
      <c r="J128" s="101">
        <f aca="true" t="shared" si="14" ref="J128:J144">C128</f>
        <v>0</v>
      </c>
      <c r="K128" s="102">
        <f t="shared" si="10"/>
        <v>0</v>
      </c>
      <c r="L128" s="31">
        <f t="shared" si="11"/>
        <v>0</v>
      </c>
      <c r="M128" s="71"/>
      <c r="N128" s="22"/>
    </row>
    <row r="129" spans="2:14" ht="9.75">
      <c r="B129" s="16"/>
      <c r="C129" s="69">
        <f t="shared" si="13"/>
        <v>0</v>
      </c>
      <c r="D129" s="2"/>
      <c r="E129" s="29">
        <f t="shared" si="5"/>
        <v>0</v>
      </c>
      <c r="F129" s="52">
        <f aca="true" t="shared" si="15" ref="F129:F144">IF(AND(C129=0,E129=0),0,IF(AND(C129=$F$9,$F$42=""),E129*100+$F$30,IF(AND(C129&lt;$F$9,$F$42=""),E129*100,IF(C129=$F$42,$F$55+E129*100,E129*100))))</f>
        <v>0</v>
      </c>
      <c r="G129" s="145">
        <f t="shared" si="12"/>
        <v>0</v>
      </c>
      <c r="H129" s="22"/>
      <c r="I129" s="91"/>
      <c r="J129" s="101">
        <f t="shared" si="14"/>
        <v>0</v>
      </c>
      <c r="K129" s="102">
        <f aca="true" t="shared" si="16" ref="K129:K144">IF(J129=0,0,IF(OR(J129=$F$42,J129=$F$9),$K$55,F129*$K$18/100-$K$43))</f>
        <v>0</v>
      </c>
      <c r="L129" s="31">
        <f aca="true" t="shared" si="17" ref="L129:L144">IF(OR(D129=0,J129=0),0,IF(OR(J129=$F$42,J129=$F$9),$L$55,G129*$K$18/100-$L$43))</f>
        <v>0</v>
      </c>
      <c r="M129" s="71"/>
      <c r="N129" s="22"/>
    </row>
    <row r="130" spans="2:14" ht="9.75">
      <c r="B130" s="16"/>
      <c r="C130" s="69">
        <f t="shared" si="13"/>
        <v>0</v>
      </c>
      <c r="D130" s="2"/>
      <c r="E130" s="29">
        <f aca="true" t="shared" si="18" ref="E130:E144">IF(OR($F$11=0,C130=$F$42,C130=0),0,IF(OR(C130=0,C130=$F$42),IF(AND(C130=$F$50,C130&lt;&gt;0),P86*(1-$C$12),0),P86*(1-$C$12)))</f>
        <v>0</v>
      </c>
      <c r="F130" s="52">
        <f t="shared" si="15"/>
        <v>0</v>
      </c>
      <c r="G130" s="145">
        <f aca="true" t="shared" si="19" ref="G130:G144">IF(OR(D130=0,D130="",$F$22=0,$F$22=""),0,F130/D130)</f>
        <v>0</v>
      </c>
      <c r="H130" s="22"/>
      <c r="I130" s="91"/>
      <c r="J130" s="101">
        <f t="shared" si="14"/>
        <v>0</v>
      </c>
      <c r="K130" s="102">
        <f t="shared" si="16"/>
        <v>0</v>
      </c>
      <c r="L130" s="31">
        <f t="shared" si="17"/>
        <v>0</v>
      </c>
      <c r="M130" s="71"/>
      <c r="N130" s="22"/>
    </row>
    <row r="131" spans="2:14" ht="9.75">
      <c r="B131" s="16"/>
      <c r="C131" s="69">
        <f aca="true" t="shared" si="20" ref="C131:C144">IF(OR(C130=$F$9,C130=$F$42,C130=0),0,IF(C130=$F$42,0,IF(AND(COUPNCD(C130,$F$9,$F$11,1)&gt;$F$42,$F$42&lt;&gt;""),$F$42,(IF(C130=0,0,IF(C130=$F$9,0,COUPNCD(C130,$F$9,$F$11,1)))))))</f>
        <v>0</v>
      </c>
      <c r="D131" s="2"/>
      <c r="E131" s="29">
        <f t="shared" si="18"/>
        <v>0</v>
      </c>
      <c r="F131" s="52">
        <f t="shared" si="15"/>
        <v>0</v>
      </c>
      <c r="G131" s="145">
        <f t="shared" si="19"/>
        <v>0</v>
      </c>
      <c r="H131" s="22"/>
      <c r="I131" s="91"/>
      <c r="J131" s="101">
        <f t="shared" si="14"/>
        <v>0</v>
      </c>
      <c r="K131" s="102">
        <f t="shared" si="16"/>
        <v>0</v>
      </c>
      <c r="L131" s="31">
        <f t="shared" si="17"/>
        <v>0</v>
      </c>
      <c r="M131" s="71"/>
      <c r="N131" s="22"/>
    </row>
    <row r="132" spans="2:14" ht="9.75">
      <c r="B132" s="16"/>
      <c r="C132" s="69">
        <f t="shared" si="20"/>
        <v>0</v>
      </c>
      <c r="D132" s="2"/>
      <c r="E132" s="29">
        <f t="shared" si="18"/>
        <v>0</v>
      </c>
      <c r="F132" s="52">
        <f t="shared" si="15"/>
        <v>0</v>
      </c>
      <c r="G132" s="145">
        <f t="shared" si="19"/>
        <v>0</v>
      </c>
      <c r="H132" s="22"/>
      <c r="I132" s="91"/>
      <c r="J132" s="101">
        <f t="shared" si="14"/>
        <v>0</v>
      </c>
      <c r="K132" s="102">
        <f t="shared" si="16"/>
        <v>0</v>
      </c>
      <c r="L132" s="31">
        <f t="shared" si="17"/>
        <v>0</v>
      </c>
      <c r="M132" s="71"/>
      <c r="N132" s="22"/>
    </row>
    <row r="133" spans="2:14" ht="9.75">
      <c r="B133" s="16"/>
      <c r="C133" s="69">
        <f t="shared" si="20"/>
        <v>0</v>
      </c>
      <c r="D133" s="2"/>
      <c r="E133" s="29">
        <f t="shared" si="18"/>
        <v>0</v>
      </c>
      <c r="F133" s="52">
        <f t="shared" si="15"/>
        <v>0</v>
      </c>
      <c r="G133" s="145">
        <f t="shared" si="19"/>
        <v>0</v>
      </c>
      <c r="H133" s="22"/>
      <c r="I133" s="91"/>
      <c r="J133" s="101">
        <f t="shared" si="14"/>
        <v>0</v>
      </c>
      <c r="K133" s="102">
        <f t="shared" si="16"/>
        <v>0</v>
      </c>
      <c r="L133" s="31">
        <f t="shared" si="17"/>
        <v>0</v>
      </c>
      <c r="M133" s="71"/>
      <c r="N133" s="22"/>
    </row>
    <row r="134" spans="2:14" ht="9.75">
      <c r="B134" s="16"/>
      <c r="C134" s="69">
        <f t="shared" si="20"/>
        <v>0</v>
      </c>
      <c r="D134" s="2"/>
      <c r="E134" s="29">
        <f t="shared" si="18"/>
        <v>0</v>
      </c>
      <c r="F134" s="52">
        <f t="shared" si="15"/>
        <v>0</v>
      </c>
      <c r="G134" s="145">
        <f t="shared" si="19"/>
        <v>0</v>
      </c>
      <c r="H134" s="22"/>
      <c r="I134" s="91"/>
      <c r="J134" s="101">
        <f t="shared" si="14"/>
        <v>0</v>
      </c>
      <c r="K134" s="102">
        <f t="shared" si="16"/>
        <v>0</v>
      </c>
      <c r="L134" s="31">
        <f t="shared" si="17"/>
        <v>0</v>
      </c>
      <c r="M134" s="71"/>
      <c r="N134" s="22"/>
    </row>
    <row r="135" spans="2:14" ht="9.75">
      <c r="B135" s="16"/>
      <c r="C135" s="69">
        <f t="shared" si="20"/>
        <v>0</v>
      </c>
      <c r="D135" s="2"/>
      <c r="E135" s="29">
        <f t="shared" si="18"/>
        <v>0</v>
      </c>
      <c r="F135" s="52">
        <f t="shared" si="15"/>
        <v>0</v>
      </c>
      <c r="G135" s="145">
        <f t="shared" si="19"/>
        <v>0</v>
      </c>
      <c r="H135" s="22"/>
      <c r="I135" s="91"/>
      <c r="J135" s="101">
        <f t="shared" si="14"/>
        <v>0</v>
      </c>
      <c r="K135" s="102">
        <f t="shared" si="16"/>
        <v>0</v>
      </c>
      <c r="L135" s="31">
        <f t="shared" si="17"/>
        <v>0</v>
      </c>
      <c r="M135" s="71"/>
      <c r="N135" s="22"/>
    </row>
    <row r="136" spans="2:14" ht="9.75">
      <c r="B136" s="16"/>
      <c r="C136" s="69">
        <f t="shared" si="20"/>
        <v>0</v>
      </c>
      <c r="D136" s="2"/>
      <c r="E136" s="29">
        <f t="shared" si="18"/>
        <v>0</v>
      </c>
      <c r="F136" s="52">
        <f t="shared" si="15"/>
        <v>0</v>
      </c>
      <c r="G136" s="145">
        <f t="shared" si="19"/>
        <v>0</v>
      </c>
      <c r="H136" s="22"/>
      <c r="I136" s="91"/>
      <c r="J136" s="101">
        <f t="shared" si="14"/>
        <v>0</v>
      </c>
      <c r="K136" s="102">
        <f t="shared" si="16"/>
        <v>0</v>
      </c>
      <c r="L136" s="31">
        <f t="shared" si="17"/>
        <v>0</v>
      </c>
      <c r="M136" s="71"/>
      <c r="N136" s="22"/>
    </row>
    <row r="137" spans="2:14" ht="9.75">
      <c r="B137" s="16"/>
      <c r="C137" s="69">
        <f t="shared" si="20"/>
        <v>0</v>
      </c>
      <c r="D137" s="2"/>
      <c r="E137" s="29">
        <f t="shared" si="18"/>
        <v>0</v>
      </c>
      <c r="F137" s="52">
        <f t="shared" si="15"/>
        <v>0</v>
      </c>
      <c r="G137" s="145">
        <f t="shared" si="19"/>
        <v>0</v>
      </c>
      <c r="H137" s="22"/>
      <c r="I137" s="91"/>
      <c r="J137" s="101">
        <f t="shared" si="14"/>
        <v>0</v>
      </c>
      <c r="K137" s="102">
        <f t="shared" si="16"/>
        <v>0</v>
      </c>
      <c r="L137" s="31">
        <f t="shared" si="17"/>
        <v>0</v>
      </c>
      <c r="M137" s="71"/>
      <c r="N137" s="22"/>
    </row>
    <row r="138" spans="2:14" ht="9.75">
      <c r="B138" s="16"/>
      <c r="C138" s="69">
        <f t="shared" si="20"/>
        <v>0</v>
      </c>
      <c r="D138" s="2"/>
      <c r="E138" s="29">
        <f t="shared" si="18"/>
        <v>0</v>
      </c>
      <c r="F138" s="52">
        <f t="shared" si="15"/>
        <v>0</v>
      </c>
      <c r="G138" s="145">
        <f t="shared" si="19"/>
        <v>0</v>
      </c>
      <c r="H138" s="22"/>
      <c r="I138" s="91"/>
      <c r="J138" s="101">
        <f t="shared" si="14"/>
        <v>0</v>
      </c>
      <c r="K138" s="102">
        <f t="shared" si="16"/>
        <v>0</v>
      </c>
      <c r="L138" s="31">
        <f t="shared" si="17"/>
        <v>0</v>
      </c>
      <c r="M138" s="71"/>
      <c r="N138" s="22"/>
    </row>
    <row r="139" spans="2:14" ht="9.75">
      <c r="B139" s="16"/>
      <c r="C139" s="69">
        <f t="shared" si="20"/>
        <v>0</v>
      </c>
      <c r="D139" s="2"/>
      <c r="E139" s="29">
        <f t="shared" si="18"/>
        <v>0</v>
      </c>
      <c r="F139" s="52">
        <f t="shared" si="15"/>
        <v>0</v>
      </c>
      <c r="G139" s="145">
        <f t="shared" si="19"/>
        <v>0</v>
      </c>
      <c r="H139" s="22"/>
      <c r="I139" s="91"/>
      <c r="J139" s="101">
        <f t="shared" si="14"/>
        <v>0</v>
      </c>
      <c r="K139" s="102">
        <f t="shared" si="16"/>
        <v>0</v>
      </c>
      <c r="L139" s="31">
        <f t="shared" si="17"/>
        <v>0</v>
      </c>
      <c r="M139" s="71"/>
      <c r="N139" s="22"/>
    </row>
    <row r="140" spans="2:14" ht="9.75">
      <c r="B140" s="16"/>
      <c r="C140" s="69">
        <f t="shared" si="20"/>
        <v>0</v>
      </c>
      <c r="D140" s="2"/>
      <c r="E140" s="29">
        <f t="shared" si="18"/>
        <v>0</v>
      </c>
      <c r="F140" s="52">
        <f t="shared" si="15"/>
        <v>0</v>
      </c>
      <c r="G140" s="145">
        <f t="shared" si="19"/>
        <v>0</v>
      </c>
      <c r="H140" s="22"/>
      <c r="I140" s="91"/>
      <c r="J140" s="101">
        <f t="shared" si="14"/>
        <v>0</v>
      </c>
      <c r="K140" s="102">
        <f t="shared" si="16"/>
        <v>0</v>
      </c>
      <c r="L140" s="31">
        <f t="shared" si="17"/>
        <v>0</v>
      </c>
      <c r="M140" s="71"/>
      <c r="N140" s="22"/>
    </row>
    <row r="141" spans="2:14" ht="9.75">
      <c r="B141" s="16"/>
      <c r="C141" s="69">
        <f t="shared" si="20"/>
        <v>0</v>
      </c>
      <c r="D141" s="2"/>
      <c r="E141" s="29">
        <f t="shared" si="18"/>
        <v>0</v>
      </c>
      <c r="F141" s="52">
        <f t="shared" si="15"/>
        <v>0</v>
      </c>
      <c r="G141" s="145">
        <f t="shared" si="19"/>
        <v>0</v>
      </c>
      <c r="H141" s="22"/>
      <c r="I141" s="91"/>
      <c r="J141" s="101">
        <f t="shared" si="14"/>
        <v>0</v>
      </c>
      <c r="K141" s="102">
        <f t="shared" si="16"/>
        <v>0</v>
      </c>
      <c r="L141" s="31">
        <f t="shared" si="17"/>
        <v>0</v>
      </c>
      <c r="M141" s="71"/>
      <c r="N141" s="22"/>
    </row>
    <row r="142" spans="2:14" ht="9.75">
      <c r="B142" s="16"/>
      <c r="C142" s="69">
        <f t="shared" si="20"/>
        <v>0</v>
      </c>
      <c r="D142" s="2"/>
      <c r="E142" s="29">
        <f t="shared" si="18"/>
        <v>0</v>
      </c>
      <c r="F142" s="52">
        <f t="shared" si="15"/>
        <v>0</v>
      </c>
      <c r="G142" s="145">
        <f t="shared" si="19"/>
        <v>0</v>
      </c>
      <c r="H142" s="22"/>
      <c r="I142" s="91"/>
      <c r="J142" s="101">
        <f t="shared" si="14"/>
        <v>0</v>
      </c>
      <c r="K142" s="102">
        <f t="shared" si="16"/>
        <v>0</v>
      </c>
      <c r="L142" s="31">
        <f t="shared" si="17"/>
        <v>0</v>
      </c>
      <c r="M142" s="71"/>
      <c r="N142" s="22"/>
    </row>
    <row r="143" spans="2:14" ht="9.75">
      <c r="B143" s="16"/>
      <c r="C143" s="69">
        <f t="shared" si="20"/>
        <v>0</v>
      </c>
      <c r="D143" s="2"/>
      <c r="E143" s="29">
        <f t="shared" si="18"/>
        <v>0</v>
      </c>
      <c r="F143" s="52">
        <f t="shared" si="15"/>
        <v>0</v>
      </c>
      <c r="G143" s="145">
        <f t="shared" si="19"/>
        <v>0</v>
      </c>
      <c r="H143" s="22"/>
      <c r="I143" s="91"/>
      <c r="J143" s="101">
        <f t="shared" si="14"/>
        <v>0</v>
      </c>
      <c r="K143" s="102">
        <f t="shared" si="16"/>
        <v>0</v>
      </c>
      <c r="L143" s="31">
        <f t="shared" si="17"/>
        <v>0</v>
      </c>
      <c r="M143" s="71"/>
      <c r="N143" s="22"/>
    </row>
    <row r="144" spans="2:14" ht="9.75">
      <c r="B144" s="16"/>
      <c r="C144" s="69">
        <f t="shared" si="20"/>
        <v>0</v>
      </c>
      <c r="D144" s="2"/>
      <c r="E144" s="29">
        <f t="shared" si="18"/>
        <v>0</v>
      </c>
      <c r="F144" s="52">
        <f t="shared" si="15"/>
        <v>0</v>
      </c>
      <c r="G144" s="145">
        <f t="shared" si="19"/>
        <v>0</v>
      </c>
      <c r="H144" s="22"/>
      <c r="I144" s="91"/>
      <c r="J144" s="101">
        <f t="shared" si="14"/>
        <v>0</v>
      </c>
      <c r="K144" s="102">
        <f t="shared" si="16"/>
        <v>0</v>
      </c>
      <c r="L144" s="31">
        <f t="shared" si="17"/>
        <v>0</v>
      </c>
      <c r="M144" s="71"/>
      <c r="N144" s="22"/>
    </row>
    <row r="145" spans="2:13" ht="10.5" thickBot="1">
      <c r="B145" s="72"/>
      <c r="C145" s="73"/>
      <c r="D145" s="73"/>
      <c r="E145" s="73"/>
      <c r="F145" s="73"/>
      <c r="G145" s="73"/>
      <c r="H145" s="73"/>
      <c r="I145" s="105"/>
      <c r="J145" s="73"/>
      <c r="K145" s="73"/>
      <c r="L145" s="73"/>
      <c r="M145" s="74"/>
    </row>
    <row r="146" ht="10.5" thickTop="1"/>
  </sheetData>
  <sheetProtection password="CAD7" sheet="1" objects="1" scenarios="1" formatCells="0" formatColumns="0" formatRows="0"/>
  <mergeCells count="15">
    <mergeCell ref="N19:P19"/>
    <mergeCell ref="B2:M2"/>
    <mergeCell ref="J7:L8"/>
    <mergeCell ref="J10:L11"/>
    <mergeCell ref="J5:L5"/>
    <mergeCell ref="J6:L6"/>
    <mergeCell ref="D4:D18"/>
    <mergeCell ref="F4:G4"/>
    <mergeCell ref="C22:C35"/>
    <mergeCell ref="C39:C53"/>
    <mergeCell ref="C57:C60"/>
    <mergeCell ref="D60:E60"/>
    <mergeCell ref="D59:E59"/>
    <mergeCell ref="D58:E58"/>
    <mergeCell ref="D57:E57"/>
  </mergeCells>
  <conditionalFormatting sqref="D65:D144">
    <cfRule type="expression" priority="1" dxfId="15" stopIfTrue="1">
      <formula>IF(C65&lt;&gt;0,1,0)</formula>
    </cfRule>
  </conditionalFormatting>
  <conditionalFormatting sqref="G55 G35 F41 G46:G49 G24:G25 L58:L60 G57:G60 G43:G44 S30 G64:G144 L38:L41 L55 L19:L21 L23 L25:L27 L49 L51:L53 L46:L47 L31:L34 L64:L144 L36">
    <cfRule type="cellIs" priority="2" dxfId="5" operator="equal" stopIfTrue="1">
      <formula>0</formula>
    </cfRule>
  </conditionalFormatting>
  <conditionalFormatting sqref="G53:G54 G50 G32:G34 K44 J64:K144 K23 F53:F55 F57:F60 K58:K60 K25:K27 L18 K19:K21 F13:F15 F26:F35 F17:F18 C64:C144 F44:F51 E64:F144">
    <cfRule type="cellIs" priority="3" dxfId="1" operator="equal" stopIfTrue="1">
      <formula>0</formula>
    </cfRule>
  </conditionalFormatting>
  <conditionalFormatting sqref="K24:L24 L37">
    <cfRule type="cellIs" priority="4" dxfId="3" operator="equal" stopIfTrue="1">
      <formula>0</formula>
    </cfRule>
  </conditionalFormatting>
  <conditionalFormatting sqref="F16">
    <cfRule type="expression" priority="5" dxfId="1" stopIfTrue="1">
      <formula>$F$10=0</formula>
    </cfRule>
  </conditionalFormatting>
  <conditionalFormatting sqref="K16:L16 K29:L29">
    <cfRule type="cellIs" priority="6" dxfId="35" operator="equal" stopIfTrue="1">
      <formula>0</formula>
    </cfRule>
  </conditionalFormatting>
  <conditionalFormatting sqref="J29:J41 K30:L30 J46 J50">
    <cfRule type="cellIs" priority="7" dxfId="34" operator="equal" stopIfTrue="1">
      <formula>0</formula>
    </cfRule>
  </conditionalFormatting>
  <conditionalFormatting sqref="P21:P61">
    <cfRule type="expression" priority="8" dxfId="0" stopIfTrue="1">
      <formula>O21&lt;&gt;""</formula>
    </cfRule>
  </conditionalFormatting>
  <printOptions horizontalCentered="1" verticalCentered="1"/>
  <pageMargins left="0.393700787401575" right="0.393700787401575" top="0.984251968503937" bottom="0.984251968503937" header="0.511811023622047" footer="0.511811023622047"/>
  <pageSetup fitToHeight="1" fitToWidth="1" horizontalDpi="360" verticalDpi="360" orientation="portrait" paperSize="9" scale="6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B2:AH1277"/>
  <sheetViews>
    <sheetView showGridLines="0" zoomScale="85" zoomScaleNormal="85" zoomScalePageLayoutView="0" workbookViewId="0" topLeftCell="A1">
      <selection activeCell="F4" sqref="F4:G4"/>
    </sheetView>
  </sheetViews>
  <sheetFormatPr defaultColWidth="9.140625" defaultRowHeight="12.75"/>
  <cols>
    <col min="1" max="1" width="2.421875" style="15" customWidth="1"/>
    <col min="2" max="2" width="2.7109375" style="15" bestFit="1" customWidth="1"/>
    <col min="3" max="3" width="12.140625" style="15" customWidth="1"/>
    <col min="4" max="4" width="11.00390625" style="15" customWidth="1"/>
    <col min="5" max="5" width="24.140625" style="15" bestFit="1" customWidth="1"/>
    <col min="6" max="6" width="13.00390625" style="15" customWidth="1"/>
    <col min="7" max="7" width="8.7109375" style="15" customWidth="1"/>
    <col min="8" max="8" width="2.7109375" style="15" customWidth="1"/>
    <col min="9" max="9" width="9.28125" style="15" customWidth="1"/>
    <col min="10" max="10" width="12.140625" style="15" bestFit="1" customWidth="1"/>
    <col min="11" max="11" width="8.421875" style="15" bestFit="1" customWidth="1"/>
    <col min="12" max="12" width="7.140625" style="15" bestFit="1" customWidth="1"/>
    <col min="13" max="13" width="7.140625" style="15" customWidth="1"/>
    <col min="14" max="14" width="1.7109375" style="15" customWidth="1"/>
    <col min="15" max="15" width="27.7109375" style="15" bestFit="1" customWidth="1"/>
    <col min="16" max="16" width="9.28125" style="15" bestFit="1" customWidth="1"/>
    <col min="17" max="17" width="11.140625" style="15" customWidth="1"/>
    <col min="18" max="18" width="2.7109375" style="15" customWidth="1"/>
    <col min="19" max="16384" width="9.140625" style="15" customWidth="1"/>
  </cols>
  <sheetData>
    <row r="1" ht="12" thickBot="1"/>
    <row r="2" spans="2:18" ht="14.25" thickBot="1" thickTop="1">
      <c r="B2" s="450" t="s">
        <v>98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2"/>
    </row>
    <row r="3" spans="2:18" ht="9.75" customHeight="1" thickTop="1"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/>
    </row>
    <row r="4" spans="2:24" ht="12" customHeight="1">
      <c r="B4" s="16"/>
      <c r="C4" s="17"/>
      <c r="D4" s="484" t="s">
        <v>26</v>
      </c>
      <c r="E4" s="110" t="s">
        <v>139</v>
      </c>
      <c r="F4" s="465"/>
      <c r="G4" s="466"/>
      <c r="H4" s="19"/>
      <c r="I4" s="225" t="s">
        <v>118</v>
      </c>
      <c r="J4" s="220"/>
      <c r="K4" s="220"/>
      <c r="L4" s="221"/>
      <c r="O4" s="141" t="s">
        <v>15</v>
      </c>
      <c r="P4" s="176"/>
      <c r="Q4" s="177"/>
      <c r="R4" s="21"/>
      <c r="S4" s="20"/>
      <c r="T4" s="20"/>
      <c r="U4" s="20"/>
      <c r="V4" s="20"/>
      <c r="W4" s="20"/>
      <c r="X4" s="20"/>
    </row>
    <row r="5" spans="2:24" ht="12" customHeight="1">
      <c r="B5" s="16"/>
      <c r="C5" s="17"/>
      <c r="D5" s="485"/>
      <c r="E5" s="110" t="s">
        <v>36</v>
      </c>
      <c r="F5" s="5"/>
      <c r="G5" s="20"/>
      <c r="H5" s="20"/>
      <c r="I5" s="226" t="s">
        <v>65</v>
      </c>
      <c r="J5" s="222"/>
      <c r="K5" s="222"/>
      <c r="L5" s="223"/>
      <c r="O5" s="142" t="s">
        <v>16</v>
      </c>
      <c r="P5" s="25" t="s">
        <v>141</v>
      </c>
      <c r="Q5" s="312"/>
      <c r="R5" s="21"/>
      <c r="S5" s="20"/>
      <c r="T5" s="147" t="s">
        <v>95</v>
      </c>
      <c r="W5" s="20"/>
      <c r="X5" s="20"/>
    </row>
    <row r="6" spans="2:24" ht="17.25" customHeight="1">
      <c r="B6" s="16"/>
      <c r="C6" s="17"/>
      <c r="D6" s="485"/>
      <c r="E6" s="186" t="s">
        <v>27</v>
      </c>
      <c r="F6" s="182">
        <v>2</v>
      </c>
      <c r="G6" s="201" t="s">
        <v>28</v>
      </c>
      <c r="H6" s="20"/>
      <c r="I6" s="26" t="s">
        <v>137</v>
      </c>
      <c r="J6" s="191" t="s">
        <v>30</v>
      </c>
      <c r="K6" s="189" t="s">
        <v>138</v>
      </c>
      <c r="L6" s="107" t="s">
        <v>64</v>
      </c>
      <c r="M6" s="107" t="s">
        <v>124</v>
      </c>
      <c r="O6" s="18" t="s">
        <v>140</v>
      </c>
      <c r="P6" s="9"/>
      <c r="Q6" s="183"/>
      <c r="R6" s="21"/>
      <c r="S6" s="20"/>
      <c r="T6" s="147" t="s">
        <v>96</v>
      </c>
      <c r="W6" s="20"/>
      <c r="X6" s="20"/>
    </row>
    <row r="7" spans="2:24" ht="12" customHeight="1">
      <c r="B7" s="16"/>
      <c r="C7" s="17"/>
      <c r="D7" s="485"/>
      <c r="E7" s="110" t="s">
        <v>67</v>
      </c>
      <c r="F7" s="4"/>
      <c r="G7" s="201" t="s">
        <v>29</v>
      </c>
      <c r="H7" s="20"/>
      <c r="I7" s="190"/>
      <c r="J7" s="190" t="s">
        <v>110</v>
      </c>
      <c r="K7" s="190" t="s">
        <v>112</v>
      </c>
      <c r="L7" s="27" t="s">
        <v>63</v>
      </c>
      <c r="M7" s="27" t="s">
        <v>125</v>
      </c>
      <c r="O7" s="18" t="s">
        <v>75</v>
      </c>
      <c r="P7" s="30">
        <f>P6*F18/100</f>
        <v>0</v>
      </c>
      <c r="Q7" s="183"/>
      <c r="R7" s="21"/>
      <c r="S7" s="20"/>
      <c r="T7" s="147" t="s">
        <v>116</v>
      </c>
      <c r="W7" s="20"/>
      <c r="X7" s="20"/>
    </row>
    <row r="8" spans="2:24" ht="12" customHeight="1">
      <c r="B8" s="16"/>
      <c r="C8" s="20"/>
      <c r="D8" s="485"/>
      <c r="E8" s="110" t="s">
        <v>68</v>
      </c>
      <c r="F8" s="116"/>
      <c r="G8" s="20"/>
      <c r="H8" s="20"/>
      <c r="I8" s="196">
        <f>F7</f>
        <v>0</v>
      </c>
      <c r="J8" s="216"/>
      <c r="K8" s="217"/>
      <c r="L8" s="200">
        <f>(F10)/100</f>
        <v>0</v>
      </c>
      <c r="M8" s="18"/>
      <c r="O8" s="18" t="s">
        <v>69</v>
      </c>
      <c r="P8" s="158">
        <f>P6*F21/100</f>
        <v>0</v>
      </c>
      <c r="Q8" s="183"/>
      <c r="R8" s="21"/>
      <c r="S8" s="20"/>
      <c r="T8" s="147" t="str">
        <f>CONCATENATE(T7,F5,"&amp;market=MOT&amp;lang=it")</f>
        <v>http://www.borsaitaliana.it/bitApp/caratteristiche.bit?target=Download&amp;isin=&amp;market=MOT&amp;lang=it</v>
      </c>
      <c r="W8" s="20"/>
      <c r="X8" s="20"/>
    </row>
    <row r="9" spans="2:24" ht="12" customHeight="1">
      <c r="B9" s="16"/>
      <c r="C9" s="23"/>
      <c r="D9" s="485"/>
      <c r="E9" s="110" t="s">
        <v>46</v>
      </c>
      <c r="F9" s="4"/>
      <c r="G9" s="23"/>
      <c r="H9" s="23"/>
      <c r="I9" s="196">
        <f>IF($F$9=0,0,IF(I8=0,0,IF(EDATE(I8,12)&lt;=$F$9,EDATE(DATE(YEAR(I8),MONTH(F9),DAY(F9)),12),0)))</f>
        <v>0</v>
      </c>
      <c r="J9" s="193"/>
      <c r="K9" s="192"/>
      <c r="L9" s="200">
        <f>IF($F$6=2,1,L8-J8)</f>
        <v>1</v>
      </c>
      <c r="M9" s="52">
        <f aca="true" t="shared" si="0" ref="M9:M19">IF($F$6=1,J9*$F$13,IF(AND($F$6=2,I9=$F$9),$F$13,0))</f>
        <v>100</v>
      </c>
      <c r="O9" s="18" t="s">
        <v>143</v>
      </c>
      <c r="P9" s="52">
        <f>IF(E19=1,P6*F19/100,P7*F19/100)</f>
        <v>0</v>
      </c>
      <c r="Q9" s="183"/>
      <c r="R9" s="21"/>
      <c r="S9" s="20"/>
      <c r="T9" s="147"/>
      <c r="W9" s="20"/>
      <c r="X9" s="20"/>
    </row>
    <row r="10" spans="2:24" ht="12" customHeight="1">
      <c r="B10" s="16"/>
      <c r="C10" s="23"/>
      <c r="D10" s="485"/>
      <c r="E10" s="187" t="s">
        <v>12</v>
      </c>
      <c r="F10" s="116"/>
      <c r="G10" s="23"/>
      <c r="H10" s="23"/>
      <c r="I10" s="196">
        <f>IF($F$9=0,0,IF(I9=0,0,IF(EDATE(I9,12)&lt;=$F$9,EDATE(I9,12),0)))</f>
        <v>0</v>
      </c>
      <c r="J10" s="193"/>
      <c r="K10" s="192"/>
      <c r="L10" s="200">
        <f aca="true" t="shared" si="1" ref="L10:L37">IF($F$6=2,1,L9-J9)</f>
        <v>1</v>
      </c>
      <c r="M10" s="52">
        <f t="shared" si="0"/>
        <v>100</v>
      </c>
      <c r="O10" s="18" t="s">
        <v>4</v>
      </c>
      <c r="P10" s="10"/>
      <c r="Q10" s="302"/>
      <c r="R10" s="21"/>
      <c r="S10" s="20"/>
      <c r="T10" s="147" t="s">
        <v>97</v>
      </c>
      <c r="W10" s="20"/>
      <c r="X10" s="20"/>
    </row>
    <row r="11" spans="2:28" ht="12" customHeight="1">
      <c r="B11" s="16"/>
      <c r="C11" s="337" t="s">
        <v>90</v>
      </c>
      <c r="D11" s="485"/>
      <c r="E11" s="187" t="s">
        <v>111</v>
      </c>
      <c r="F11" s="11">
        <v>1</v>
      </c>
      <c r="G11" s="23"/>
      <c r="H11" s="23"/>
      <c r="I11" s="196">
        <f>IF($F$9=0,0,IF(I10=0,0,IF(EDATE(I10,12)&lt;=$F$9,EDATE(I10,12),0)))</f>
        <v>0</v>
      </c>
      <c r="J11" s="193"/>
      <c r="K11" s="192"/>
      <c r="L11" s="200">
        <f t="shared" si="1"/>
        <v>1</v>
      </c>
      <c r="M11" s="52">
        <f t="shared" si="0"/>
        <v>100</v>
      </c>
      <c r="O11" s="18" t="s">
        <v>70</v>
      </c>
      <c r="P11" s="52">
        <f>IF(P6=0,0,F28*P6/100)</f>
        <v>0</v>
      </c>
      <c r="Q11" s="183"/>
      <c r="R11" s="21"/>
      <c r="S11" s="20"/>
      <c r="T11" s="147" t="str">
        <f>CONCATENATE(T10,F5,"&amp;market=MOT&amp;lang=it")</f>
        <v>http://www.borsaitaliana.it/borsa/quotazioni/obbligazioni/obbligazioni-in-euro/dati-completi.html?isin=&amp;market=MOT&amp;lang=it</v>
      </c>
      <c r="U11" s="20"/>
      <c r="V11" s="20"/>
      <c r="W11" s="20"/>
      <c r="X11" s="20"/>
      <c r="AB11" s="20"/>
    </row>
    <row r="12" spans="2:28" ht="12" customHeight="1">
      <c r="B12" s="16"/>
      <c r="C12" s="330">
        <v>0.125</v>
      </c>
      <c r="D12" s="485"/>
      <c r="E12" s="187" t="s">
        <v>76</v>
      </c>
      <c r="F12" s="137">
        <f>IF(F10=0,0,(F10-F8))</f>
        <v>0</v>
      </c>
      <c r="G12" s="23"/>
      <c r="H12" s="23"/>
      <c r="I12" s="196">
        <f>IF($F$9=0,0,IF(I11=0,0,IF(EDATE(I11,12)&lt;=$F$9,EDATE(I11,12),0)))</f>
        <v>0</v>
      </c>
      <c r="J12" s="193"/>
      <c r="K12" s="192"/>
      <c r="L12" s="200">
        <f t="shared" si="1"/>
        <v>1</v>
      </c>
      <c r="M12" s="52">
        <f t="shared" si="0"/>
        <v>100</v>
      </c>
      <c r="O12" s="18" t="s">
        <v>3</v>
      </c>
      <c r="P12" s="164">
        <f>IF(P6=0,0,(P7-P8+P9+P10)/P6*100)</f>
        <v>0</v>
      </c>
      <c r="Q12" s="212"/>
      <c r="R12" s="21"/>
      <c r="S12" s="20"/>
      <c r="U12" s="20"/>
      <c r="V12" s="20"/>
      <c r="W12" s="20"/>
      <c r="X12" s="20"/>
      <c r="AB12" s="20"/>
    </row>
    <row r="13" spans="2:28" ht="12" customHeight="1">
      <c r="B13" s="16"/>
      <c r="D13" s="485"/>
      <c r="E13" s="117" t="s">
        <v>34</v>
      </c>
      <c r="F13" s="125">
        <f>IF(OR(F7=0,F8=0),100,IF(F8&gt;F10,F10,F10-C12*F12))</f>
        <v>100</v>
      </c>
      <c r="G13" s="23"/>
      <c r="H13" s="23"/>
      <c r="I13" s="196">
        <f>IF($F$9=0,0,IF(I12=0,0,IF(EDATE(I12,12)&lt;=$F$9,EDATE(I12,12),0)))</f>
        <v>0</v>
      </c>
      <c r="J13" s="193"/>
      <c r="K13" s="192"/>
      <c r="L13" s="200">
        <f t="shared" si="1"/>
        <v>1</v>
      </c>
      <c r="M13" s="52">
        <f t="shared" si="0"/>
        <v>100</v>
      </c>
      <c r="O13" s="18" t="s">
        <v>23</v>
      </c>
      <c r="P13" s="30">
        <f>-P8*C12</f>
        <v>0</v>
      </c>
      <c r="Q13" s="183"/>
      <c r="R13" s="21"/>
      <c r="S13" s="20"/>
      <c r="U13" s="20"/>
      <c r="V13" s="20"/>
      <c r="W13" s="20"/>
      <c r="X13" s="20"/>
      <c r="AB13" s="20"/>
    </row>
    <row r="14" spans="2:24" ht="10.5" customHeight="1">
      <c r="B14" s="16"/>
      <c r="C14" s="205"/>
      <c r="D14" s="486"/>
      <c r="E14" s="52" t="s">
        <v>37</v>
      </c>
      <c r="F14" s="52">
        <f>IF(OR(F7=0,F9=0),0,YEARFRAC(F9,F7,0))</f>
        <v>0</v>
      </c>
      <c r="G14" s="23"/>
      <c r="H14" s="23"/>
      <c r="I14" s="196">
        <f>IF($F$9=0,0,IF(I13=0,0,IF(EDATE(I13,12)&lt;=$F$9,EDATE(I13,12),0)))</f>
        <v>0</v>
      </c>
      <c r="J14" s="193"/>
      <c r="K14" s="192"/>
      <c r="L14" s="200">
        <f t="shared" si="1"/>
        <v>1</v>
      </c>
      <c r="M14" s="52">
        <f t="shared" si="0"/>
        <v>100</v>
      </c>
      <c r="O14" s="18" t="s">
        <v>87</v>
      </c>
      <c r="P14" s="30">
        <f>-P11*C12</f>
        <v>0</v>
      </c>
      <c r="Q14" s="183"/>
      <c r="R14" s="21"/>
      <c r="S14" s="20"/>
      <c r="W14" s="20"/>
      <c r="X14" s="20"/>
    </row>
    <row r="15" spans="2:24" ht="11.25" customHeight="1">
      <c r="B15" s="16"/>
      <c r="C15" s="204"/>
      <c r="D15" s="206"/>
      <c r="G15" s="24"/>
      <c r="H15" s="240"/>
      <c r="I15" s="196">
        <f>IF($F$9=0,0,IF(I14=0,0,IF(EDATE(I14,12)&lt;=$F$9,EDATE(I14,12),0)))</f>
        <v>0</v>
      </c>
      <c r="J15" s="193"/>
      <c r="K15" s="192"/>
      <c r="L15" s="200">
        <f t="shared" si="1"/>
        <v>1</v>
      </c>
      <c r="M15" s="52">
        <f t="shared" si="0"/>
        <v>100</v>
      </c>
      <c r="O15" s="34" t="s">
        <v>144</v>
      </c>
      <c r="P15" s="35">
        <f>P7+P9+P10+P11+P13+P14</f>
        <v>0</v>
      </c>
      <c r="Q15" s="303"/>
      <c r="R15" s="21"/>
      <c r="S15" s="46"/>
      <c r="T15" s="20"/>
      <c r="U15" s="20"/>
      <c r="V15" s="20"/>
      <c r="W15" s="46"/>
      <c r="X15" s="46"/>
    </row>
    <row r="16" spans="2:24" ht="12.75" customHeight="1">
      <c r="B16" s="16"/>
      <c r="C16" s="467" t="s">
        <v>105</v>
      </c>
      <c r="D16" s="181"/>
      <c r="E16" s="333"/>
      <c r="F16" s="334"/>
      <c r="G16" s="78"/>
      <c r="H16" s="241"/>
      <c r="I16" s="196">
        <f>IF($F$9=0,0,IF(I15=0,0,IF(EDATE(I15,12)&lt;=$F$9,EDATE(I15,12),0)))</f>
        <v>0</v>
      </c>
      <c r="J16" s="193"/>
      <c r="K16" s="192"/>
      <c r="L16" s="200">
        <f t="shared" si="1"/>
        <v>1</v>
      </c>
      <c r="M16" s="52">
        <f t="shared" si="0"/>
        <v>100</v>
      </c>
      <c r="Q16" s="46"/>
      <c r="R16" s="21"/>
      <c r="S16" s="46"/>
      <c r="T16" s="20"/>
      <c r="U16" s="20"/>
      <c r="V16" s="20"/>
      <c r="W16" s="46"/>
      <c r="X16" s="46"/>
    </row>
    <row r="17" spans="2:24" ht="11.25">
      <c r="B17" s="16"/>
      <c r="C17" s="468"/>
      <c r="D17" s="114" t="s">
        <v>101</v>
      </c>
      <c r="E17" s="48"/>
      <c r="F17" s="4"/>
      <c r="G17" s="81"/>
      <c r="H17" s="242"/>
      <c r="I17" s="196">
        <f>IF($F$9=0,0,IF(I16=0,0,IF(EDATE(I16,12)&lt;=$F$9,EDATE(I16,12),0)))</f>
        <v>0</v>
      </c>
      <c r="J17" s="193"/>
      <c r="K17" s="192"/>
      <c r="L17" s="200">
        <f t="shared" si="1"/>
        <v>1</v>
      </c>
      <c r="M17" s="52">
        <f t="shared" si="0"/>
        <v>100</v>
      </c>
      <c r="O17" s="141" t="s">
        <v>15</v>
      </c>
      <c r="P17" s="176"/>
      <c r="Q17" s="46"/>
      <c r="R17" s="21"/>
      <c r="S17" s="46"/>
      <c r="T17" s="20"/>
      <c r="U17" s="20"/>
      <c r="V17" s="20"/>
      <c r="W17" s="46"/>
      <c r="X17" s="46"/>
    </row>
    <row r="18" spans="2:24" ht="11.25">
      <c r="B18" s="16"/>
      <c r="C18" s="468"/>
      <c r="D18" s="171" t="s">
        <v>7</v>
      </c>
      <c r="E18" s="114"/>
      <c r="F18" s="116"/>
      <c r="G18" s="84"/>
      <c r="H18" s="243"/>
      <c r="I18" s="196">
        <f>IF($F$9=0,0,IF(I17=0,0,IF(EDATE(I17,12)&lt;=$F$9,EDATE(I17,12),0)))</f>
        <v>0</v>
      </c>
      <c r="J18" s="193"/>
      <c r="K18" s="192"/>
      <c r="L18" s="200">
        <f t="shared" si="1"/>
        <v>1</v>
      </c>
      <c r="M18" s="52">
        <f t="shared" si="0"/>
        <v>100</v>
      </c>
      <c r="O18" s="142" t="s">
        <v>17</v>
      </c>
      <c r="P18" s="25" t="s">
        <v>141</v>
      </c>
      <c r="Q18" s="304"/>
      <c r="R18" s="21"/>
      <c r="S18" s="32"/>
      <c r="T18" s="20"/>
      <c r="U18" s="20"/>
      <c r="V18" s="20"/>
      <c r="W18" s="32"/>
      <c r="X18" s="32"/>
    </row>
    <row r="19" spans="2:24" ht="15.75" customHeight="1">
      <c r="B19" s="16"/>
      <c r="C19" s="468"/>
      <c r="D19" s="171"/>
      <c r="E19" s="339">
        <v>2</v>
      </c>
      <c r="F19" s="106"/>
      <c r="G19" s="84"/>
      <c r="H19" s="243"/>
      <c r="I19" s="196">
        <f>IF($F$9=0,0,IF(I18=0,0,IF(EDATE(I18,12)&lt;=$F$9,EDATE(I18,12),0)))</f>
        <v>0</v>
      </c>
      <c r="J19" s="193"/>
      <c r="K19" s="192"/>
      <c r="L19" s="200">
        <f t="shared" si="1"/>
        <v>1</v>
      </c>
      <c r="M19" s="52">
        <f t="shared" si="0"/>
        <v>100</v>
      </c>
      <c r="O19" s="18" t="s">
        <v>140</v>
      </c>
      <c r="P19" s="140">
        <f>P6</f>
        <v>0</v>
      </c>
      <c r="Q19" s="183"/>
      <c r="R19" s="21"/>
      <c r="S19" s="32"/>
      <c r="T19" s="20"/>
      <c r="U19" s="20"/>
      <c r="V19" s="20"/>
      <c r="W19" s="32"/>
      <c r="X19" s="32"/>
    </row>
    <row r="20" spans="2:24" ht="11.25">
      <c r="B20" s="16"/>
      <c r="C20" s="468"/>
      <c r="D20" s="109" t="s">
        <v>39</v>
      </c>
      <c r="E20" s="110"/>
      <c r="F20" s="53">
        <f>IF(F17=0,0,$F$12/($F$9-$F$7)*(F17-$F$7)+$F$8)</f>
        <v>0</v>
      </c>
      <c r="H20" s="244"/>
      <c r="I20" s="196">
        <f>IF($F$9=0,0,IF(I19=0,0,IF(EDATE(I19,12)&lt;=$F$9,EDATE(I19,12),0)))</f>
        <v>0</v>
      </c>
      <c r="J20" s="193"/>
      <c r="K20" s="192"/>
      <c r="L20" s="200">
        <f t="shared" si="1"/>
        <v>1</v>
      </c>
      <c r="M20" s="52">
        <f aca="true" t="shared" si="2" ref="M20:M37">IF($F$6=1,J20*$F$13,IF(AND($F$6=2,I20=$F$9),$F$13,0))</f>
        <v>100</v>
      </c>
      <c r="O20" s="18" t="s">
        <v>75</v>
      </c>
      <c r="P20" s="30">
        <f>IF(F35&lt;&gt;0,P19*F36/100,F13*P19/100)</f>
        <v>0</v>
      </c>
      <c r="Q20" s="183"/>
      <c r="R20" s="21"/>
      <c r="S20" s="32"/>
      <c r="T20" s="20"/>
      <c r="U20" s="20"/>
      <c r="V20" s="20"/>
      <c r="W20" s="32"/>
      <c r="X20" s="32"/>
    </row>
    <row r="21" spans="2:24" ht="11.25">
      <c r="B21" s="16"/>
      <c r="C21" s="468"/>
      <c r="D21" s="171" t="s">
        <v>14</v>
      </c>
      <c r="E21" s="114"/>
      <c r="F21" s="168">
        <f>IF(OR($F$8=0,$F$7=0,F17=0,F18=0,$F$8&gt;$F$10),0,F20-$F$8)</f>
        <v>0</v>
      </c>
      <c r="G21" s="126"/>
      <c r="H21" s="245"/>
      <c r="I21" s="196">
        <f>IF($F$9=0,0,IF(I20=0,0,IF(EDATE(I20,12)&lt;=$F$9,EDATE(I20,12),0)))</f>
        <v>0</v>
      </c>
      <c r="J21" s="193"/>
      <c r="K21" s="192"/>
      <c r="L21" s="200">
        <f t="shared" si="1"/>
        <v>1</v>
      </c>
      <c r="M21" s="52">
        <f t="shared" si="2"/>
        <v>100</v>
      </c>
      <c r="O21" s="18" t="s">
        <v>69</v>
      </c>
      <c r="P21" s="157">
        <f>IF(F35&lt;&gt;0,F39*P19/100,F12*P19/100)</f>
        <v>0</v>
      </c>
      <c r="Q21" s="183"/>
      <c r="R21" s="21"/>
      <c r="S21" s="32"/>
      <c r="T21" s="20"/>
      <c r="U21" s="20"/>
      <c r="V21" s="20"/>
      <c r="W21" s="32"/>
      <c r="X21" s="32"/>
    </row>
    <row r="22" spans="2:24" ht="11.25">
      <c r="B22" s="16"/>
      <c r="C22" s="468"/>
      <c r="D22" s="179" t="s">
        <v>74</v>
      </c>
      <c r="E22" s="120"/>
      <c r="F22" s="130">
        <f>F18-F21</f>
        <v>0</v>
      </c>
      <c r="G22" s="126"/>
      <c r="H22" s="245"/>
      <c r="I22" s="196">
        <f>IF($F$9=0,0,IF(I21=0,0,IF(EDATE(I21,12)&lt;=$F$9,EDATE(I21,12),0)))</f>
        <v>0</v>
      </c>
      <c r="J22" s="193"/>
      <c r="K22" s="192"/>
      <c r="L22" s="200">
        <f t="shared" si="1"/>
        <v>1</v>
      </c>
      <c r="M22" s="52">
        <f t="shared" si="2"/>
        <v>100</v>
      </c>
      <c r="O22" s="18" t="s">
        <v>143</v>
      </c>
      <c r="P22" s="102">
        <f>IF(E37=1,P19*F37/100,P20*F37/100)</f>
        <v>0</v>
      </c>
      <c r="Q22" s="183"/>
      <c r="R22" s="21"/>
      <c r="S22" s="32"/>
      <c r="T22" s="20"/>
      <c r="U22" s="20"/>
      <c r="V22" s="20"/>
      <c r="W22" s="32"/>
      <c r="X22" s="32"/>
    </row>
    <row r="23" spans="2:24" ht="11.25">
      <c r="B23" s="16"/>
      <c r="C23" s="468"/>
      <c r="D23" s="179" t="s">
        <v>21</v>
      </c>
      <c r="E23" s="120"/>
      <c r="F23" s="123">
        <f>-F21*C12</f>
        <v>0</v>
      </c>
      <c r="G23" s="83"/>
      <c r="H23" s="246"/>
      <c r="I23" s="196">
        <f>IF($F$9=0,0,IF(I22=0,0,IF(EDATE(I22,12)&lt;=$F$9,EDATE(I22,12),0)))</f>
        <v>0</v>
      </c>
      <c r="J23" s="193"/>
      <c r="K23" s="192"/>
      <c r="L23" s="200">
        <f t="shared" si="1"/>
        <v>1</v>
      </c>
      <c r="M23" s="52">
        <f t="shared" si="2"/>
        <v>100</v>
      </c>
      <c r="O23" s="18" t="s">
        <v>4</v>
      </c>
      <c r="P23" s="10"/>
      <c r="Q23" s="305"/>
      <c r="R23" s="21"/>
      <c r="S23" s="32"/>
      <c r="T23" s="20"/>
      <c r="U23" s="20"/>
      <c r="V23" s="20"/>
      <c r="W23" s="32"/>
      <c r="X23" s="32"/>
    </row>
    <row r="24" spans="2:24" ht="11.25">
      <c r="B24" s="16"/>
      <c r="C24" s="468"/>
      <c r="D24" s="114" t="s">
        <v>146</v>
      </c>
      <c r="E24" s="48"/>
      <c r="F24" s="162">
        <f>IF(OR(F17=0,F18=0,F10=0),0,F13)</f>
        <v>0</v>
      </c>
      <c r="G24" s="84"/>
      <c r="H24" s="243"/>
      <c r="I24" s="196">
        <f>IF($F$9=0,0,IF(I23=0,0,IF(EDATE(I23,12)&lt;=$F$9,EDATE(I23,12),0)))</f>
        <v>0</v>
      </c>
      <c r="J24" s="193"/>
      <c r="K24" s="192"/>
      <c r="L24" s="200">
        <f t="shared" si="1"/>
        <v>1</v>
      </c>
      <c r="M24" s="52">
        <f t="shared" si="2"/>
        <v>100</v>
      </c>
      <c r="O24" s="18" t="s">
        <v>70</v>
      </c>
      <c r="P24" s="30">
        <f>IF(F17=0,0,IF(F35&lt;&gt;0,F46*P6/100,P6*VLOOKUP(F9,I8:K38,3,FALSE)))</f>
        <v>0</v>
      </c>
      <c r="Q24" s="183"/>
      <c r="R24" s="21"/>
      <c r="S24" s="32"/>
      <c r="T24" s="20"/>
      <c r="U24" s="20"/>
      <c r="V24" s="20"/>
      <c r="W24" s="32"/>
      <c r="X24" s="32"/>
    </row>
    <row r="25" spans="2:24" ht="11.25">
      <c r="B25" s="16"/>
      <c r="C25" s="468"/>
      <c r="D25" s="173" t="s">
        <v>47</v>
      </c>
      <c r="E25" s="115"/>
      <c r="F25" s="41">
        <f>IF(OR(F11=0,F17=0),0,COUPPCD(F17,F9,F11,1))</f>
        <v>0</v>
      </c>
      <c r="G25" s="84"/>
      <c r="H25" s="243"/>
      <c r="I25" s="196">
        <f>IF($F$9=0,0,IF(I24=0,0,IF(EDATE(I24,12)&lt;=$F$9,EDATE(I24,12),0)))</f>
        <v>0</v>
      </c>
      <c r="J25" s="193"/>
      <c r="K25" s="192"/>
      <c r="L25" s="200">
        <f t="shared" si="1"/>
        <v>1</v>
      </c>
      <c r="M25" s="52">
        <f t="shared" si="2"/>
        <v>100</v>
      </c>
      <c r="O25" s="155" t="s">
        <v>24</v>
      </c>
      <c r="P25" s="175">
        <f>IF(P6=0,0,(P20-P21-P22-P23)/P19*100)</f>
        <v>0</v>
      </c>
      <c r="Q25" s="76"/>
      <c r="R25" s="21"/>
      <c r="S25" s="46"/>
      <c r="T25" s="20"/>
      <c r="U25" s="20"/>
      <c r="V25" s="20"/>
      <c r="W25" s="46"/>
      <c r="X25" s="46"/>
    </row>
    <row r="26" spans="2:24" ht="11.25">
      <c r="B26" s="16"/>
      <c r="C26" s="468"/>
      <c r="D26" s="173" t="s">
        <v>48</v>
      </c>
      <c r="E26" s="115"/>
      <c r="F26" s="41">
        <f>IF(OR($F$11=0,$F$17=0),0,COUPNCD(F17,$F$9,$F$11,1))</f>
        <v>0</v>
      </c>
      <c r="G26" s="88"/>
      <c r="H26" s="247"/>
      <c r="I26" s="196">
        <f>IF($F$9=0,0,IF(I25=0,0,IF(EDATE(I25,12)&lt;=$F$9,EDATE(I25,12),0)))</f>
        <v>0</v>
      </c>
      <c r="J26" s="193"/>
      <c r="K26" s="192"/>
      <c r="L26" s="200">
        <f t="shared" si="1"/>
        <v>1</v>
      </c>
      <c r="M26" s="52">
        <f t="shared" si="2"/>
        <v>100</v>
      </c>
      <c r="O26" s="18" t="s">
        <v>21</v>
      </c>
      <c r="P26" s="30">
        <f>IF(F35&lt;&gt;0,-F39*C12*P19/100,0)</f>
        <v>0</v>
      </c>
      <c r="Q26" s="183"/>
      <c r="R26" s="21"/>
      <c r="S26" s="46"/>
      <c r="T26" s="20"/>
      <c r="U26" s="20"/>
      <c r="V26" s="20"/>
      <c r="W26" s="46"/>
      <c r="X26" s="46"/>
    </row>
    <row r="27" spans="2:24" ht="11.25">
      <c r="B27" s="16"/>
      <c r="C27" s="468"/>
      <c r="D27" s="42" t="s">
        <v>57</v>
      </c>
      <c r="E27" s="42"/>
      <c r="F27" s="198">
        <f>IF(F17=0,0,VLOOKUP(F26,I8:K38,3,FALSE))</f>
        <v>0</v>
      </c>
      <c r="G27" s="42"/>
      <c r="H27" s="248"/>
      <c r="I27" s="196">
        <f>IF($F$9=0,0,IF(I26=0,0,IF(EDATE(I26,12)&lt;=$F$9,EDATE(I26,12),0)))</f>
        <v>0</v>
      </c>
      <c r="J27" s="193"/>
      <c r="K27" s="192"/>
      <c r="L27" s="200">
        <f t="shared" si="1"/>
        <v>1</v>
      </c>
      <c r="M27" s="52">
        <f t="shared" si="2"/>
        <v>100</v>
      </c>
      <c r="O27" s="18" t="s">
        <v>87</v>
      </c>
      <c r="P27" s="30">
        <f>-P24*C12</f>
        <v>0</v>
      </c>
      <c r="Q27" s="183"/>
      <c r="R27" s="21"/>
      <c r="S27" s="46"/>
      <c r="T27" s="20"/>
      <c r="U27" s="20"/>
      <c r="V27" s="20"/>
      <c r="W27" s="46"/>
      <c r="X27" s="46"/>
    </row>
    <row r="28" spans="2:24" ht="11.25">
      <c r="B28" s="16"/>
      <c r="C28" s="468"/>
      <c r="D28" s="171" t="s">
        <v>70</v>
      </c>
      <c r="E28" s="114"/>
      <c r="F28" s="125" t="e">
        <f>YEARFRAC(F25,F17,K53-1)*F27*100</f>
        <v>#NAME?</v>
      </c>
      <c r="G28" s="88"/>
      <c r="H28" s="247"/>
      <c r="I28" s="196">
        <f>IF($F$9=0,0,IF(I27=0,0,IF(EDATE(I27,12)&lt;=$F$9,EDATE(I27,12),0)))</f>
        <v>0</v>
      </c>
      <c r="J28" s="193"/>
      <c r="K28" s="192"/>
      <c r="L28" s="200">
        <f t="shared" si="1"/>
        <v>1</v>
      </c>
      <c r="M28" s="52">
        <f t="shared" si="2"/>
        <v>100</v>
      </c>
      <c r="O28" s="155" t="s">
        <v>25</v>
      </c>
      <c r="P28" s="148">
        <f>IF(F17=0,0,IF(F35=0,(P20-P22-P23+P24+P26+P27)*VLOOKUP(F9,I8:L38,4,FALSE),(P20-P22-P23+P24+P26+P27)*VLOOKUP(F44,I8:L38,4,FALSE)))</f>
        <v>0</v>
      </c>
      <c r="Q28" s="306"/>
      <c r="R28" s="21"/>
      <c r="S28" s="46"/>
      <c r="T28" s="20"/>
      <c r="U28" s="20"/>
      <c r="V28" s="20"/>
      <c r="W28" s="46"/>
      <c r="X28" s="46"/>
    </row>
    <row r="29" spans="2:24" ht="11.25">
      <c r="B29" s="16"/>
      <c r="C29" s="468"/>
      <c r="D29" s="171" t="s">
        <v>132</v>
      </c>
      <c r="E29" s="114"/>
      <c r="F29" s="125" t="e">
        <f>F28*(1-C12)</f>
        <v>#NAME?</v>
      </c>
      <c r="G29" s="88"/>
      <c r="H29" s="247"/>
      <c r="I29" s="196">
        <f>IF($F$9=0,0,IF(I28=0,0,IF(EDATE(I28,12)&lt;=$F$9,EDATE(I28,12),0)))</f>
        <v>0</v>
      </c>
      <c r="J29" s="193"/>
      <c r="K29" s="192"/>
      <c r="L29" s="200">
        <f t="shared" si="1"/>
        <v>1</v>
      </c>
      <c r="M29" s="52">
        <f t="shared" si="2"/>
        <v>100</v>
      </c>
      <c r="O29" s="154" t="s">
        <v>5</v>
      </c>
      <c r="P29" s="149"/>
      <c r="Q29" s="306"/>
      <c r="R29" s="21"/>
      <c r="S29" s="85"/>
      <c r="T29" s="20"/>
      <c r="U29" s="20"/>
      <c r="V29" s="20"/>
      <c r="W29" s="85"/>
      <c r="X29" s="85"/>
    </row>
    <row r="30" spans="2:24" s="42" customFormat="1" ht="11.25">
      <c r="B30" s="40"/>
      <c r="C30" s="469"/>
      <c r="D30" s="170" t="s">
        <v>133</v>
      </c>
      <c r="E30" s="119"/>
      <c r="F30" s="44" t="e">
        <f>IF(E19=1,F18+F19+F23+F29,(F18+F19*F18/100+F23+F29))</f>
        <v>#NAME?</v>
      </c>
      <c r="G30" s="297"/>
      <c r="H30" s="251"/>
      <c r="I30" s="196">
        <f>IF($F$9=0,0,IF(I29=0,0,IF(EDATE(I29,12)&lt;=$F$9,EDATE(I29,12),0)))</f>
        <v>0</v>
      </c>
      <c r="J30" s="193"/>
      <c r="K30" s="192"/>
      <c r="L30" s="200">
        <f t="shared" si="1"/>
        <v>1</v>
      </c>
      <c r="M30" s="52">
        <f t="shared" si="2"/>
        <v>100</v>
      </c>
      <c r="Q30" s="49"/>
      <c r="R30" s="43"/>
      <c r="S30" s="89"/>
      <c r="T30" s="89"/>
      <c r="U30" s="89"/>
      <c r="V30" s="89"/>
      <c r="W30" s="89"/>
      <c r="X30" s="89"/>
    </row>
    <row r="31" spans="2:24" s="42" customFormat="1" ht="11.25">
      <c r="B31" s="40"/>
      <c r="H31" s="248"/>
      <c r="I31" s="196">
        <f>IF($F$9=0,0,IF(I30=0,0,IF(EDATE(I30,12)&lt;=$F$9,EDATE(I30,12),0)))</f>
        <v>0</v>
      </c>
      <c r="J31" s="193"/>
      <c r="K31" s="192"/>
      <c r="L31" s="200">
        <f t="shared" si="1"/>
        <v>1</v>
      </c>
      <c r="M31" s="52">
        <f t="shared" si="2"/>
        <v>100</v>
      </c>
      <c r="Q31" s="49"/>
      <c r="R31" s="43"/>
      <c r="S31" s="89"/>
      <c r="T31" s="89"/>
      <c r="U31" s="89"/>
      <c r="V31" s="89"/>
      <c r="W31" s="89"/>
      <c r="X31" s="89"/>
    </row>
    <row r="32" spans="2:24" s="42" customFormat="1" ht="11.25" customHeight="1">
      <c r="B32" s="40"/>
      <c r="C32" s="487" t="s">
        <v>126</v>
      </c>
      <c r="D32" s="180" t="s">
        <v>8</v>
      </c>
      <c r="E32" s="150"/>
      <c r="F32" s="151"/>
      <c r="G32" s="47"/>
      <c r="H32" s="249"/>
      <c r="I32" s="196">
        <f>IF($F$9=0,0,IF(I31=0,0,IF(EDATE(I31,12)&lt;=$F$9,EDATE(I31,12),0)))</f>
        <v>0</v>
      </c>
      <c r="J32" s="193"/>
      <c r="K32" s="192"/>
      <c r="L32" s="200">
        <f t="shared" si="1"/>
        <v>1</v>
      </c>
      <c r="M32" s="52">
        <f t="shared" si="2"/>
        <v>100</v>
      </c>
      <c r="O32" s="18" t="s">
        <v>66</v>
      </c>
      <c r="P32" s="106"/>
      <c r="Q32" s="183"/>
      <c r="R32" s="43"/>
      <c r="S32" s="89"/>
      <c r="T32" s="89"/>
      <c r="U32" s="89"/>
      <c r="V32" s="89"/>
      <c r="W32" s="89"/>
      <c r="X32" s="89"/>
    </row>
    <row r="33" spans="2:24" ht="11.25">
      <c r="B33" s="16"/>
      <c r="C33" s="488"/>
      <c r="D33" s="152"/>
      <c r="E33" s="152"/>
      <c r="F33" s="153"/>
      <c r="G33" s="47"/>
      <c r="H33" s="249"/>
      <c r="I33" s="196">
        <f>IF($F$9=0,0,IF(I32=0,0,IF(EDATE(I32,12)&lt;=$F$9,EDATE(I32,12),0)))</f>
        <v>0</v>
      </c>
      <c r="J33" s="193"/>
      <c r="K33" s="192"/>
      <c r="L33" s="200">
        <f t="shared" si="1"/>
        <v>1</v>
      </c>
      <c r="M33" s="52">
        <f t="shared" si="2"/>
        <v>100</v>
      </c>
      <c r="O33" s="112"/>
      <c r="P33" s="207"/>
      <c r="Q33" s="131"/>
      <c r="R33" s="21"/>
      <c r="S33" s="22"/>
      <c r="T33" s="20"/>
      <c r="U33" s="20"/>
      <c r="V33" s="20"/>
      <c r="W33" s="22"/>
      <c r="X33" s="22"/>
    </row>
    <row r="34" spans="2:24" ht="11.25" customHeight="1">
      <c r="B34" s="16"/>
      <c r="C34" s="488"/>
      <c r="D34" s="181"/>
      <c r="E34" s="333"/>
      <c r="F34" s="335"/>
      <c r="H34" s="244"/>
      <c r="I34" s="196">
        <f>IF($F$9=0,0,IF(I33=0,0,IF(EDATE(I33,12)&lt;=$F$9,EDATE(I33,12),0)))</f>
        <v>0</v>
      </c>
      <c r="J34" s="193"/>
      <c r="K34" s="192"/>
      <c r="L34" s="200">
        <f t="shared" si="1"/>
        <v>1</v>
      </c>
      <c r="M34" s="52">
        <f t="shared" si="2"/>
        <v>100</v>
      </c>
      <c r="Q34" s="46"/>
      <c r="R34" s="21"/>
      <c r="S34" s="20"/>
      <c r="T34" s="20"/>
      <c r="U34" s="20"/>
      <c r="V34" s="20"/>
      <c r="W34" s="20"/>
      <c r="X34" s="20"/>
    </row>
    <row r="35" spans="2:24" ht="11.25">
      <c r="B35" s="16"/>
      <c r="C35" s="488"/>
      <c r="D35" s="171" t="s">
        <v>102</v>
      </c>
      <c r="E35" s="114"/>
      <c r="F35" s="138"/>
      <c r="G35" s="49"/>
      <c r="H35" s="250"/>
      <c r="I35" s="196">
        <f>IF($F$9=0,0,IF(I34=0,0,IF(EDATE(I34,12)&lt;=$F$9,EDATE(I34,12),0)))</f>
        <v>0</v>
      </c>
      <c r="J35" s="193"/>
      <c r="K35" s="192"/>
      <c r="L35" s="200">
        <f t="shared" si="1"/>
        <v>1</v>
      </c>
      <c r="M35" s="52">
        <f t="shared" si="2"/>
        <v>100</v>
      </c>
      <c r="O35" s="113" t="s">
        <v>0</v>
      </c>
      <c r="P35" s="174">
        <f>P25-P12</f>
        <v>0</v>
      </c>
      <c r="Q35" s="46"/>
      <c r="R35" s="21"/>
      <c r="S35" s="20"/>
      <c r="T35" s="20"/>
      <c r="U35" s="20"/>
      <c r="V35" s="20"/>
      <c r="W35" s="20"/>
      <c r="X35" s="20"/>
    </row>
    <row r="36" spans="2:24" ht="12.75" customHeight="1">
      <c r="B36" s="16"/>
      <c r="C36" s="488"/>
      <c r="D36" s="171" t="s">
        <v>6</v>
      </c>
      <c r="E36" s="114"/>
      <c r="F36" s="1"/>
      <c r="G36" s="84"/>
      <c r="H36" s="243"/>
      <c r="I36" s="196">
        <f>IF($F$9=0,0,IF(I35=0,0,IF(EDATE(I35,12)&lt;=$F$9,EDATE(I35,12),0)))</f>
        <v>0</v>
      </c>
      <c r="J36" s="193"/>
      <c r="K36" s="192"/>
      <c r="L36" s="200">
        <f t="shared" si="1"/>
        <v>1</v>
      </c>
      <c r="M36" s="52">
        <f t="shared" si="2"/>
        <v>100</v>
      </c>
      <c r="O36" s="113" t="s">
        <v>88</v>
      </c>
      <c r="P36" s="174">
        <f>IF(P35&lt;0,0,P35*C12)</f>
        <v>0</v>
      </c>
      <c r="Q36" s="46"/>
      <c r="R36" s="21"/>
      <c r="S36" s="20"/>
      <c r="T36" s="20"/>
      <c r="U36" s="20"/>
      <c r="V36" s="20"/>
      <c r="W36" s="20"/>
      <c r="X36" s="20"/>
    </row>
    <row r="37" spans="2:24" ht="18" customHeight="1">
      <c r="B37" s="16"/>
      <c r="C37" s="488"/>
      <c r="D37" s="171"/>
      <c r="E37" s="339">
        <v>2</v>
      </c>
      <c r="F37" s="1"/>
      <c r="G37" s="84"/>
      <c r="H37" s="243"/>
      <c r="I37" s="196">
        <f>IF($F$9=0,0,IF(I36=0,0,IF(EDATE(I36,12)&lt;=$F$9,EDATE(I36,12),0)))</f>
        <v>0</v>
      </c>
      <c r="J37" s="193"/>
      <c r="K37" s="192"/>
      <c r="L37" s="200">
        <f t="shared" si="1"/>
        <v>1</v>
      </c>
      <c r="M37" s="52">
        <f t="shared" si="2"/>
        <v>100</v>
      </c>
      <c r="Q37" s="46"/>
      <c r="R37" s="21"/>
      <c r="S37" s="20"/>
      <c r="T37" s="20"/>
      <c r="U37" s="20"/>
      <c r="V37" s="20"/>
      <c r="W37" s="20"/>
      <c r="X37" s="20"/>
    </row>
    <row r="38" spans="2:24" ht="11.25">
      <c r="B38" s="16"/>
      <c r="C38" s="488"/>
      <c r="D38" s="109" t="s">
        <v>39</v>
      </c>
      <c r="E38" s="110"/>
      <c r="F38" s="18">
        <f>IF(F35=0,0,$F$12/($F$9-$F$7)*(F35-$F$7)+$F$8)</f>
        <v>0</v>
      </c>
      <c r="G38" s="76"/>
      <c r="H38" s="46"/>
      <c r="I38" s="196">
        <f>IF($F$9=0,0,IF(I37=0,0,IF(EDATE(I37,12)&lt;=$F$9,EDATE(I37,12),0)))</f>
        <v>0</v>
      </c>
      <c r="J38" s="193"/>
      <c r="K38" s="192"/>
      <c r="L38" s="200">
        <f>IF($F$6=2,1,L37-J37)</f>
        <v>1</v>
      </c>
      <c r="M38" s="52">
        <f>IF($F$6=1,J38*$F$13,IF(AND($F$6=2,I38=$F$9),$F$13,0))</f>
        <v>100</v>
      </c>
      <c r="O38" s="18" t="s">
        <v>86</v>
      </c>
      <c r="P38" s="30">
        <f>P35*P6/100</f>
        <v>0</v>
      </c>
      <c r="Q38" s="183"/>
      <c r="R38" s="21"/>
      <c r="S38" s="20"/>
      <c r="T38" s="20"/>
      <c r="U38" s="20"/>
      <c r="V38" s="20"/>
      <c r="W38" s="20"/>
      <c r="X38" s="20"/>
    </row>
    <row r="39" spans="2:24" ht="11.25">
      <c r="B39" s="16"/>
      <c r="C39" s="488"/>
      <c r="D39" s="181" t="s">
        <v>14</v>
      </c>
      <c r="E39" s="114"/>
      <c r="F39" s="124">
        <f>IF(OR($F$8=0,$F$7=0,F35=0,F36=0,$F$8&gt;$F$10),0,F38-$F$8)</f>
        <v>0</v>
      </c>
      <c r="G39" s="84"/>
      <c r="H39" s="38"/>
      <c r="J39" s="224" t="str">
        <f>IF(AND(F6=1,SUM(J9:J38)&lt;&gt;1),"Attenzione: la somma dei rimborsi deve fare 100 !","OK")</f>
        <v>OK</v>
      </c>
      <c r="O39" s="18" t="s">
        <v>33</v>
      </c>
      <c r="P39" s="10"/>
      <c r="Q39" s="305"/>
      <c r="R39" s="21"/>
      <c r="S39" s="20"/>
      <c r="T39" s="20"/>
      <c r="U39" s="20"/>
      <c r="V39" s="20"/>
      <c r="W39" s="20"/>
      <c r="X39" s="20"/>
    </row>
    <row r="40" spans="2:24" ht="12" thickBot="1">
      <c r="B40" s="16"/>
      <c r="C40" s="488"/>
      <c r="D40" s="181" t="s">
        <v>74</v>
      </c>
      <c r="E40" s="114"/>
      <c r="F40" s="136">
        <f>F36-F39</f>
        <v>0</v>
      </c>
      <c r="G40" s="84"/>
      <c r="H40" s="38"/>
      <c r="O40" s="18" t="s">
        <v>2</v>
      </c>
      <c r="P40" s="30">
        <f>IF(P39&gt;P38,0,P38-P39)</f>
        <v>0</v>
      </c>
      <c r="Q40" s="183"/>
      <c r="R40" s="21"/>
      <c r="S40" s="20"/>
      <c r="T40" s="20"/>
      <c r="U40" s="20"/>
      <c r="V40" s="20"/>
      <c r="W40" s="20"/>
      <c r="X40" s="20"/>
    </row>
    <row r="41" spans="2:24" ht="12.75" thickTop="1">
      <c r="B41" s="16"/>
      <c r="C41" s="488"/>
      <c r="D41" s="179" t="s">
        <v>73</v>
      </c>
      <c r="E41" s="114"/>
      <c r="F41" s="125">
        <f>F39*C12</f>
        <v>0</v>
      </c>
      <c r="G41" s="84"/>
      <c r="H41" s="38"/>
      <c r="I41" s="459" t="s">
        <v>19</v>
      </c>
      <c r="J41" s="460"/>
      <c r="K41" s="460"/>
      <c r="L41" s="460"/>
      <c r="M41" s="461"/>
      <c r="O41" s="18" t="s">
        <v>22</v>
      </c>
      <c r="P41" s="30">
        <f>P40*C12</f>
        <v>0</v>
      </c>
      <c r="Q41" s="183"/>
      <c r="R41" s="21"/>
      <c r="S41" s="20"/>
      <c r="T41" s="20"/>
      <c r="U41" s="20"/>
      <c r="V41" s="20"/>
      <c r="W41" s="20"/>
      <c r="X41" s="20"/>
    </row>
    <row r="42" spans="2:24" ht="12">
      <c r="B42" s="16"/>
      <c r="C42" s="488"/>
      <c r="D42" s="171" t="s">
        <v>131</v>
      </c>
      <c r="E42" s="114"/>
      <c r="F42" s="128">
        <f>IF(F35="",0,(F36-F41))</f>
        <v>0</v>
      </c>
      <c r="G42" s="84"/>
      <c r="H42" s="38"/>
      <c r="I42" s="462" t="s">
        <v>20</v>
      </c>
      <c r="J42" s="463"/>
      <c r="K42" s="463"/>
      <c r="L42" s="463"/>
      <c r="M42" s="464"/>
      <c r="O42" s="65" t="s">
        <v>35</v>
      </c>
      <c r="P42" s="160">
        <f>IF(P39-P38&lt;0,0,P39-P38)</f>
        <v>0</v>
      </c>
      <c r="Q42" s="307"/>
      <c r="R42" s="21"/>
      <c r="S42" s="20"/>
      <c r="T42" s="20"/>
      <c r="U42" s="20"/>
      <c r="V42" s="20"/>
      <c r="W42" s="20"/>
      <c r="X42" s="20"/>
    </row>
    <row r="43" spans="2:24" ht="12">
      <c r="B43" s="16"/>
      <c r="C43" s="488"/>
      <c r="D43" s="171" t="s">
        <v>47</v>
      </c>
      <c r="E43" s="114"/>
      <c r="F43" s="41">
        <f>IF(F25=0,0,COUPPCD(F35,F9,F11))</f>
        <v>0</v>
      </c>
      <c r="G43" s="214"/>
      <c r="H43" s="238"/>
      <c r="I43" s="490" t="str">
        <f>IF(F5="","Scrivere il codice Isin nella cella F5",HYPERLINK(T8,"Vai al Regolamento del Titolo"))</f>
        <v>Scrivere il codice Isin nella cella F5</v>
      </c>
      <c r="J43" s="491"/>
      <c r="K43" s="491"/>
      <c r="L43" s="491"/>
      <c r="M43" s="492"/>
      <c r="Q43" s="46"/>
      <c r="R43" s="21"/>
      <c r="S43" s="20"/>
      <c r="T43" s="20"/>
      <c r="U43" s="20"/>
      <c r="V43" s="20"/>
      <c r="W43" s="20"/>
      <c r="X43" s="20"/>
    </row>
    <row r="44" spans="2:24" ht="21" thickBot="1">
      <c r="B44" s="16"/>
      <c r="C44" s="488"/>
      <c r="D44" s="15" t="s">
        <v>58</v>
      </c>
      <c r="F44" s="199">
        <f>IF(OR($F$11=0,$F$35=0),0,COUPNCD(F35,$F$9,$F$11,1))</f>
        <v>0</v>
      </c>
      <c r="G44" s="76"/>
      <c r="H44" s="46"/>
      <c r="I44" s="227"/>
      <c r="J44" s="219"/>
      <c r="K44" s="219"/>
      <c r="L44" s="236"/>
      <c r="M44" s="237"/>
      <c r="O44" s="161" t="s">
        <v>31</v>
      </c>
      <c r="P44" s="79">
        <f>(P28-P41)</f>
        <v>0</v>
      </c>
      <c r="Q44" s="303"/>
      <c r="R44" s="21"/>
      <c r="S44" s="20"/>
      <c r="T44" s="20"/>
      <c r="U44" s="20"/>
      <c r="V44" s="20"/>
      <c r="W44" s="20"/>
      <c r="X44" s="20"/>
    </row>
    <row r="45" spans="2:24" ht="10.5" thickTop="1">
      <c r="B45" s="16"/>
      <c r="C45" s="488"/>
      <c r="D45" s="18" t="s">
        <v>57</v>
      </c>
      <c r="E45" s="18"/>
      <c r="F45" s="198">
        <f>IF(F35=0,0,VLOOKUP(F44,I8:K38,3,FALSE))</f>
        <v>0</v>
      </c>
      <c r="G45" s="76"/>
      <c r="H45" s="46"/>
      <c r="I45" s="230"/>
      <c r="J45" s="231"/>
      <c r="K45" s="231"/>
      <c r="L45" s="232"/>
      <c r="M45" s="233"/>
      <c r="Q45" s="252"/>
      <c r="R45" s="21"/>
      <c r="S45" s="20"/>
      <c r="T45" s="20"/>
      <c r="U45" s="20"/>
      <c r="V45" s="20"/>
      <c r="W45" s="20"/>
      <c r="X45" s="20"/>
    </row>
    <row r="46" spans="2:24" ht="12">
      <c r="B46" s="16"/>
      <c r="C46" s="488"/>
      <c r="D46" s="171" t="s">
        <v>70</v>
      </c>
      <c r="E46" s="114"/>
      <c r="F46" s="125">
        <f>IF(F35=0,0,YEARFRAC(F43,F35,K53-1)*F45*100)</f>
        <v>0</v>
      </c>
      <c r="G46" s="214"/>
      <c r="H46" s="238"/>
      <c r="I46" s="490" t="str">
        <f>IF(F5="","Scrivere il Codice Isin nella Cella F5",HYPERLINK(T11,"Vai al Display del Titolo con la sua quotazione"))</f>
        <v>Scrivere il Codice Isin nella Cella F5</v>
      </c>
      <c r="J46" s="491"/>
      <c r="K46" s="491"/>
      <c r="L46" s="491"/>
      <c r="M46" s="492"/>
      <c r="O46" s="283" t="s">
        <v>59</v>
      </c>
      <c r="Q46" s="252"/>
      <c r="R46" s="21"/>
      <c r="S46" s="20"/>
      <c r="T46" s="20"/>
      <c r="U46" s="20"/>
      <c r="V46" s="20"/>
      <c r="W46" s="20"/>
      <c r="X46" s="20"/>
    </row>
    <row r="47" spans="2:24" ht="12.75" thickBot="1">
      <c r="B47" s="16"/>
      <c r="C47" s="488"/>
      <c r="D47" s="113" t="s">
        <v>132</v>
      </c>
      <c r="E47" s="114"/>
      <c r="F47" s="125">
        <f>F46*(1-C12)</f>
        <v>0</v>
      </c>
      <c r="G47" s="258"/>
      <c r="H47" s="239"/>
      <c r="I47" s="228"/>
      <c r="J47" s="229"/>
      <c r="K47" s="229"/>
      <c r="L47" s="234"/>
      <c r="M47" s="235"/>
      <c r="O47" s="283" t="s">
        <v>60</v>
      </c>
      <c r="Q47" s="252"/>
      <c r="R47" s="21"/>
      <c r="S47" s="20"/>
      <c r="T47" s="20"/>
      <c r="U47" s="20"/>
      <c r="V47" s="20"/>
      <c r="W47" s="20"/>
      <c r="X47" s="20"/>
    </row>
    <row r="48" spans="2:28" ht="10.5" thickTop="1">
      <c r="B48" s="16"/>
      <c r="C48" s="489"/>
      <c r="D48" s="194" t="s">
        <v>32</v>
      </c>
      <c r="E48" s="114"/>
      <c r="F48" s="163">
        <f>IF(F35=0,0,IF(E37=1,F47+F42-F37,(F47+F42-F37*F36/100)))</f>
        <v>0</v>
      </c>
      <c r="G48" s="84"/>
      <c r="H48" s="38"/>
      <c r="O48" s="283" t="s">
        <v>61</v>
      </c>
      <c r="Q48" s="252"/>
      <c r="R48" s="21"/>
      <c r="S48" s="20"/>
      <c r="T48" s="20"/>
      <c r="U48" s="20"/>
      <c r="V48" s="20"/>
      <c r="W48" s="20"/>
      <c r="X48" s="20"/>
      <c r="Y48" s="188"/>
      <c r="Z48" s="20"/>
      <c r="AA48" s="20"/>
      <c r="AB48" s="20"/>
    </row>
    <row r="49" spans="2:28" ht="9.75">
      <c r="B49" s="16"/>
      <c r="D49" s="351"/>
      <c r="G49" s="46"/>
      <c r="H49" s="252"/>
      <c r="O49" s="283" t="s">
        <v>62</v>
      </c>
      <c r="Q49" s="252"/>
      <c r="R49" s="21"/>
      <c r="S49" s="20"/>
      <c r="T49" s="20"/>
      <c r="U49" s="20"/>
      <c r="V49" s="20"/>
      <c r="W49" s="20"/>
      <c r="X49" s="20"/>
      <c r="Z49" s="133"/>
      <c r="AA49" s="20"/>
      <c r="AB49" s="20"/>
    </row>
    <row r="50" spans="2:28" ht="12">
      <c r="B50" s="16"/>
      <c r="C50" s="20"/>
      <c r="D50" s="45"/>
      <c r="E50" s="22"/>
      <c r="F50" s="20"/>
      <c r="G50" s="46"/>
      <c r="H50" s="46"/>
      <c r="I50" s="336"/>
      <c r="J50" s="273"/>
      <c r="Q50" s="252"/>
      <c r="R50" s="21"/>
      <c r="S50" s="20"/>
      <c r="T50" s="20"/>
      <c r="U50" s="20"/>
      <c r="V50" s="20"/>
      <c r="W50" s="20"/>
      <c r="X50" s="20"/>
      <c r="Z50" s="20"/>
      <c r="AA50" s="20"/>
      <c r="AB50" s="20"/>
    </row>
    <row r="51" spans="2:28" ht="11.25" customHeight="1">
      <c r="B51" s="16"/>
      <c r="C51" s="470" t="s">
        <v>134</v>
      </c>
      <c r="D51" s="482" t="s">
        <v>49</v>
      </c>
      <c r="E51" s="483"/>
      <c r="F51" s="52">
        <f>IF(OR(F17=0,F18=0),0,SUM(F58:F88))</f>
        <v>0</v>
      </c>
      <c r="G51" s="84"/>
      <c r="H51" s="38"/>
      <c r="I51" s="288" t="s">
        <v>149</v>
      </c>
      <c r="J51" s="287"/>
      <c r="K51" s="112"/>
      <c r="L51" s="112"/>
      <c r="M51" s="271"/>
      <c r="Q51" s="252"/>
      <c r="R51" s="21"/>
      <c r="S51" s="22"/>
      <c r="T51" s="20"/>
      <c r="U51" s="20"/>
      <c r="V51" s="20"/>
      <c r="W51" s="22"/>
      <c r="X51" s="22"/>
      <c r="Z51" s="20"/>
      <c r="AA51" s="20"/>
      <c r="AB51" s="20"/>
    </row>
    <row r="52" spans="2:28" ht="11.25">
      <c r="B52" s="16"/>
      <c r="C52" s="471"/>
      <c r="D52" s="482" t="s">
        <v>45</v>
      </c>
      <c r="E52" s="483"/>
      <c r="F52" s="53">
        <f>IF(OR(F9=0,F17=0),0,IF(F35=0,YEARFRAC(F17,F9,1),YEARFRAC(F17,F35,1)))</f>
        <v>0</v>
      </c>
      <c r="G52" s="84"/>
      <c r="H52" s="38"/>
      <c r="I52" s="39"/>
      <c r="J52" s="20"/>
      <c r="K52" s="20"/>
      <c r="L52" s="20"/>
      <c r="M52" s="244"/>
      <c r="O52" s="18" t="s">
        <v>49</v>
      </c>
      <c r="P52" s="79">
        <f>SUM(P58:P88)</f>
        <v>0</v>
      </c>
      <c r="Q52" s="303"/>
      <c r="R52" s="21"/>
      <c r="S52" s="22"/>
      <c r="T52" s="20"/>
      <c r="U52" s="20"/>
      <c r="V52" s="20"/>
      <c r="W52" s="22"/>
      <c r="X52" s="22"/>
      <c r="Z52" s="20"/>
      <c r="AA52" s="20"/>
      <c r="AB52" s="20"/>
    </row>
    <row r="53" spans="2:28" ht="11.25">
      <c r="B53" s="16"/>
      <c r="C53" s="471"/>
      <c r="D53" s="482" t="s">
        <v>51</v>
      </c>
      <c r="E53" s="483"/>
      <c r="F53" s="29">
        <f>IF(OR(F17=0,F9=0,F18=0,F10=0),0,-F51/F58/F52)</f>
        <v>0</v>
      </c>
      <c r="G53" s="86"/>
      <c r="H53" s="85"/>
      <c r="I53" s="39"/>
      <c r="J53" s="20"/>
      <c r="K53" s="289">
        <v>2</v>
      </c>
      <c r="L53" s="20"/>
      <c r="M53" s="244"/>
      <c r="O53" s="18" t="s">
        <v>51</v>
      </c>
      <c r="P53" s="36">
        <f>IF(OR(F17=0,F9=0,F18=0,F10=0,F52=0,P15=0),0,P52/P15/F52)</f>
        <v>0</v>
      </c>
      <c r="Q53" s="300"/>
      <c r="R53" s="21"/>
      <c r="S53" s="45"/>
      <c r="T53" s="20"/>
      <c r="U53" s="20"/>
      <c r="V53" s="20"/>
      <c r="W53" s="45"/>
      <c r="X53" s="45"/>
      <c r="Z53" s="20"/>
      <c r="AA53" s="20"/>
      <c r="AB53" s="20"/>
    </row>
    <row r="54" spans="2:28" s="56" customFormat="1" ht="22.5" customHeight="1">
      <c r="B54" s="55"/>
      <c r="C54" s="472"/>
      <c r="D54" s="480" t="s">
        <v>11</v>
      </c>
      <c r="E54" s="481"/>
      <c r="F54" s="36">
        <f>IF(OR($F$17=0,$F$9=0,$F$18=0,$F$10=0),0,IF(AND($F$35=0,$F$52&gt;1),XIRR(F58:F88,$C$58:$C$88),IF(AND($F$35=0,$F$52&lt;1),F51/F30/$F$52,IF(AND($F$35&lt;&gt;0,$F$52&gt;1),XIRR(F58:F88,$C$58:$C$88),F51/F30/$F$52))))</f>
        <v>0</v>
      </c>
      <c r="G54" s="300"/>
      <c r="H54" s="134"/>
      <c r="I54" s="284"/>
      <c r="J54" s="285"/>
      <c r="K54" s="285"/>
      <c r="L54" s="285"/>
      <c r="M54" s="286"/>
      <c r="O54" s="218" t="s">
        <v>10</v>
      </c>
      <c r="P54" s="36">
        <f>IF(OR($F$17=0,$F$9=0,$F$18=0,$F$10=0,$P$15=0),0,IF(AND($F$35=0,$F$52&gt;1),XIRR(P58:P88,$O$58:$O$88),IF(AND($F$35=0,$F$52&lt;1),(P52/P15/$F$52),IF(AND($F$35&lt;&gt;0,$F$52&gt;1),XIRR(P58:P88,$O$58:$O$88),P52/P15/$F$52))))</f>
        <v>0</v>
      </c>
      <c r="Q54" s="300"/>
      <c r="R54" s="57"/>
      <c r="S54" s="94"/>
      <c r="T54" s="111"/>
      <c r="U54" s="111"/>
      <c r="V54" s="111"/>
      <c r="W54" s="94"/>
      <c r="X54" s="94"/>
      <c r="Y54" s="165"/>
      <c r="Z54" s="111"/>
      <c r="AA54" s="111"/>
      <c r="AB54" s="111"/>
    </row>
    <row r="55" spans="2:28" s="56" customFormat="1" ht="10.5" thickBot="1">
      <c r="B55" s="58"/>
      <c r="C55" s="59"/>
      <c r="D55" s="352">
        <f>IF(AND(F35=F43,F35&lt;&gt;0),"ATTENZIONE: DATA VENDITA COINCIDENTE CON DATA SCADANZA CEDOLA: IN QUESTO CASO I DATI NON SONO ATTENDIBILI",)</f>
        <v>0</v>
      </c>
      <c r="E55" s="60"/>
      <c r="F55" s="61"/>
      <c r="G55" s="253"/>
      <c r="H55" s="253"/>
      <c r="I55" s="59"/>
      <c r="J55" s="59"/>
      <c r="K55" s="59"/>
      <c r="L55" s="59"/>
      <c r="M55" s="59"/>
      <c r="N55" s="59"/>
      <c r="O55" s="59"/>
      <c r="P55" s="59"/>
      <c r="Q55" s="301"/>
      <c r="R55" s="62"/>
      <c r="S55" s="94"/>
      <c r="T55" s="111"/>
      <c r="U55" s="111"/>
      <c r="V55" s="111"/>
      <c r="W55" s="94"/>
      <c r="X55" s="94"/>
      <c r="Y55" s="166"/>
      <c r="Z55" s="111"/>
      <c r="AA55" s="111"/>
      <c r="AB55" s="111"/>
    </row>
    <row r="56" spans="2:34" ht="12.75" thickTop="1">
      <c r="B56" s="16"/>
      <c r="C56" s="20"/>
      <c r="D56" s="45"/>
      <c r="E56" s="22"/>
      <c r="F56" s="20"/>
      <c r="G56" s="46"/>
      <c r="H56" s="46"/>
      <c r="Q56" s="252"/>
      <c r="R56" s="21"/>
      <c r="S56" s="20"/>
      <c r="T56" s="20"/>
      <c r="U56" s="20"/>
      <c r="V56" s="20"/>
      <c r="W56" s="20"/>
      <c r="X56" s="20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</row>
    <row r="57" spans="2:34" ht="19.5">
      <c r="B57" s="16"/>
      <c r="C57" s="64" t="s">
        <v>52</v>
      </c>
      <c r="D57" s="317"/>
      <c r="E57" s="65" t="s">
        <v>56</v>
      </c>
      <c r="F57" s="65" t="s">
        <v>53</v>
      </c>
      <c r="G57" s="298"/>
      <c r="H57" s="254"/>
      <c r="O57" s="64" t="s">
        <v>52</v>
      </c>
      <c r="P57" s="25" t="s">
        <v>141</v>
      </c>
      <c r="Q57" s="298"/>
      <c r="R57" s="21"/>
      <c r="S57" s="28"/>
      <c r="T57" s="20"/>
      <c r="U57" s="20"/>
      <c r="V57" s="20"/>
      <c r="W57" s="28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</row>
    <row r="58" spans="2:34" ht="12">
      <c r="B58" s="16"/>
      <c r="C58" s="69">
        <f>F17</f>
        <v>0</v>
      </c>
      <c r="D58" s="11"/>
      <c r="E58" s="195"/>
      <c r="F58" s="66" t="e">
        <f>-F30*VLOOKUP(F26,I8:L37,4,FALSE)</f>
        <v>#NAME?</v>
      </c>
      <c r="G58" s="299"/>
      <c r="H58" s="252"/>
      <c r="O58" s="101">
        <f aca="true" t="shared" si="3" ref="O58:O88">C58</f>
        <v>0</v>
      </c>
      <c r="P58" s="102">
        <f>-P15*VLOOKUP(F26,I8:L37,4,FALSE)</f>
        <v>0</v>
      </c>
      <c r="Q58" s="183"/>
      <c r="R58" s="21"/>
      <c r="S58" s="99"/>
      <c r="T58" s="20"/>
      <c r="U58" s="20"/>
      <c r="V58" s="20"/>
      <c r="W58" s="99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</row>
    <row r="59" spans="2:34" ht="12">
      <c r="B59" s="16"/>
      <c r="C59" s="69">
        <f>IF(AND($F$35&lt;&gt;"",IF($F$11=0,$F$9,$F$26)&gt;$F$35),$F$35,IF($F$11=0,$F9,$F26))</f>
        <v>0</v>
      </c>
      <c r="D59" s="2"/>
      <c r="E59" s="213">
        <f aca="true" t="shared" si="4" ref="E59:E88">IF(OR(C59=0,C59=$F$35),0,VLOOKUP(C59,$I$8:$L$38,3,FALSE)*VLOOKUP(C59,$I$8:$L$38,4,FALSE)*(1-$C$12))</f>
        <v>0</v>
      </c>
      <c r="F59" s="52">
        <f aca="true" t="shared" si="5" ref="F59:F81">IF(AND(C59=0,E59=0),0,IF(C59=$F$35,$F$48*VLOOKUP($F$44,$I$6:$L$38,4,FALSE),IF(C59=$F$9,E59*100+VLOOKUP(C59,$I$8:$M$38,5,FALSE),E59*100+VLOOKUP(C59,$I$6:$M$38,5,FALSE))))</f>
        <v>0</v>
      </c>
      <c r="G59" s="299"/>
      <c r="H59" s="197"/>
      <c r="O59" s="101">
        <f t="shared" si="3"/>
        <v>0</v>
      </c>
      <c r="P59" s="102">
        <f>IF(O59=0,0,IF(OR(O59=$F$35,O59=$F$9),$P$44,F59*$P$6/100-$P$32))</f>
        <v>0</v>
      </c>
      <c r="Q59" s="183"/>
      <c r="R59" s="21"/>
      <c r="S59" s="22"/>
      <c r="T59" s="20"/>
      <c r="U59" s="20"/>
      <c r="V59" s="20"/>
      <c r="W59" s="22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</row>
    <row r="60" spans="2:34" ht="12">
      <c r="B60" s="16"/>
      <c r="C60" s="69">
        <f>IF(OR(C59=$F$9,C59=$F$35),0,IF(C59=$F$35,0,IF(AND(COUPNCD(C59,$F$9,$F$11,1)&gt;$F$35,$F$35&lt;&gt;""),$F$35,(IF(C59=0,0,IF(C59=$F$9,0,COUPNCD(C59,$F$9,$F$11,1)))))))</f>
        <v>0</v>
      </c>
      <c r="D60" s="2"/>
      <c r="E60" s="213">
        <f t="shared" si="4"/>
        <v>0</v>
      </c>
      <c r="F60" s="52">
        <f t="shared" si="5"/>
        <v>0</v>
      </c>
      <c r="G60" s="299"/>
      <c r="H60" s="197"/>
      <c r="O60" s="101">
        <f t="shared" si="3"/>
        <v>0</v>
      </c>
      <c r="P60" s="102">
        <f aca="true" t="shared" si="6" ref="P60:P88">IF(O60=0,0,IF(OR(O60=$F$35,O60=$F$9),$P$44,F60*$P$6/100-$P$32))</f>
        <v>0</v>
      </c>
      <c r="Q60" s="183"/>
      <c r="R60" s="21"/>
      <c r="S60" s="22"/>
      <c r="T60" s="20"/>
      <c r="U60" s="20"/>
      <c r="V60" s="20"/>
      <c r="W60" s="22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</row>
    <row r="61" spans="2:34" ht="12">
      <c r="B61" s="16"/>
      <c r="C61" s="69">
        <f>IF(OR(C60=$F$9,C60=$F$35,C60=0),0,IF(C60=$F$35,0,IF(AND(COUPNCD(C60,$F$9,$F$11,1)&gt;$F$35,$F$35&lt;&gt;""),$F$35,(IF(C60=0,0,IF(C60=$F$9,0,COUPNCD(C60,$F$9,$F$11,1)))))))</f>
        <v>0</v>
      </c>
      <c r="D61" s="2"/>
      <c r="E61" s="213">
        <f t="shared" si="4"/>
        <v>0</v>
      </c>
      <c r="F61" s="52">
        <f t="shared" si="5"/>
        <v>0</v>
      </c>
      <c r="G61" s="299"/>
      <c r="H61" s="197"/>
      <c r="O61" s="101">
        <f t="shared" si="3"/>
        <v>0</v>
      </c>
      <c r="P61" s="102">
        <f t="shared" si="6"/>
        <v>0</v>
      </c>
      <c r="Q61" s="183"/>
      <c r="R61" s="21"/>
      <c r="S61" s="22"/>
      <c r="T61" s="20"/>
      <c r="U61" s="20"/>
      <c r="V61" s="20"/>
      <c r="W61" s="22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</row>
    <row r="62" spans="2:34" ht="12">
      <c r="B62" s="16"/>
      <c r="C62" s="69">
        <f>IF(OR(C61=$F$9,C61=$F$35,C61=0),0,IF(C61=$F$35,0,IF(AND(COUPNCD(C61,$F$9,$F$11,1)&gt;$F$35,$F$35&lt;&gt;""),$F$35,(IF(C61=0,0,IF(C61=$F$9,0,COUPNCD(C61,$F$9,$F$11,1)))))))</f>
        <v>0</v>
      </c>
      <c r="D62" s="2"/>
      <c r="E62" s="213">
        <f t="shared" si="4"/>
        <v>0</v>
      </c>
      <c r="F62" s="52">
        <f t="shared" si="5"/>
        <v>0</v>
      </c>
      <c r="G62" s="299"/>
      <c r="H62" s="197"/>
      <c r="O62" s="101">
        <f t="shared" si="3"/>
        <v>0</v>
      </c>
      <c r="P62" s="102">
        <f t="shared" si="6"/>
        <v>0</v>
      </c>
      <c r="Q62" s="183"/>
      <c r="R62" s="21"/>
      <c r="S62" s="22"/>
      <c r="T62" s="20"/>
      <c r="U62" s="20"/>
      <c r="V62" s="20"/>
      <c r="W62" s="22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</row>
    <row r="63" spans="2:34" ht="12">
      <c r="B63" s="16"/>
      <c r="C63" s="69">
        <f>IF(OR(C62=$F$9,C62=$F$35,C62=0),0,IF(C62=$F$35,0,IF(AND(COUPNCD(C62,$F$9,$F$11,1)&gt;$F$35,$F$35&lt;&gt;""),$F$35,(IF(C62=0,0,IF(C62=$F$9,0,COUPNCD(C62,$F$9,$F$11,1)))))))</f>
        <v>0</v>
      </c>
      <c r="D63" s="2"/>
      <c r="E63" s="213">
        <f t="shared" si="4"/>
        <v>0</v>
      </c>
      <c r="F63" s="52">
        <f t="shared" si="5"/>
        <v>0</v>
      </c>
      <c r="G63" s="299"/>
      <c r="H63" s="197"/>
      <c r="O63" s="101">
        <f t="shared" si="3"/>
        <v>0</v>
      </c>
      <c r="P63" s="102">
        <f t="shared" si="6"/>
        <v>0</v>
      </c>
      <c r="Q63" s="183"/>
      <c r="R63" s="21"/>
      <c r="S63" s="22"/>
      <c r="T63" s="20"/>
      <c r="U63" s="20"/>
      <c r="V63" s="20"/>
      <c r="W63" s="22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</row>
    <row r="64" spans="2:34" ht="12">
      <c r="B64" s="16"/>
      <c r="C64" s="69">
        <f>IF(OR(C63=$F$9,C63=$F$35,C63=0),0,IF(C63=$F$35,0,IF(AND(COUPNCD(C63,$F$9,$F$11,1)&gt;$F$35,$F$35&lt;&gt;""),$F$35,(IF(C63=0,0,IF(C63=$F$9,0,COUPNCD(C63,$F$9,$F$11,1)))))))</f>
        <v>0</v>
      </c>
      <c r="D64" s="2"/>
      <c r="E64" s="213">
        <f t="shared" si="4"/>
        <v>0</v>
      </c>
      <c r="F64" s="52">
        <f t="shared" si="5"/>
        <v>0</v>
      </c>
      <c r="G64" s="299"/>
      <c r="H64" s="197"/>
      <c r="O64" s="101">
        <f t="shared" si="3"/>
        <v>0</v>
      </c>
      <c r="P64" s="102">
        <f t="shared" si="6"/>
        <v>0</v>
      </c>
      <c r="Q64" s="183"/>
      <c r="R64" s="21"/>
      <c r="S64" s="22"/>
      <c r="T64" s="20"/>
      <c r="U64" s="20"/>
      <c r="V64" s="20"/>
      <c r="W64" s="22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</row>
    <row r="65" spans="2:34" ht="12">
      <c r="B65" s="16"/>
      <c r="C65" s="69">
        <f>IF(OR(C64=$F$9,C64=$F$35,C64=0),0,IF(C64=$F$35,0,IF(AND(COUPNCD(C64,$F$9,$F$11,1)&gt;$F$35,$F$35&lt;&gt;""),$F$35,(IF(C64=0,0,IF(C64=$F$9,0,COUPNCD(C64,$F$9,$F$11,1)))))))</f>
        <v>0</v>
      </c>
      <c r="D65" s="2"/>
      <c r="E65" s="213">
        <f t="shared" si="4"/>
        <v>0</v>
      </c>
      <c r="F65" s="52">
        <f t="shared" si="5"/>
        <v>0</v>
      </c>
      <c r="G65" s="299"/>
      <c r="H65" s="197"/>
      <c r="O65" s="101">
        <f t="shared" si="3"/>
        <v>0</v>
      </c>
      <c r="P65" s="102">
        <f t="shared" si="6"/>
        <v>0</v>
      </c>
      <c r="Q65" s="183"/>
      <c r="R65" s="21"/>
      <c r="S65" s="22"/>
      <c r="T65" s="20"/>
      <c r="U65" s="20"/>
      <c r="V65" s="20"/>
      <c r="W65" s="22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</row>
    <row r="66" spans="2:34" ht="12">
      <c r="B66" s="16"/>
      <c r="C66" s="69">
        <f>IF(OR(C65=$F$9,C65=$F$35,C65=0),0,IF(C65=$F$35,0,IF(AND(COUPNCD(C65,$F$9,$F$11,1)&gt;$F$35,$F$35&lt;&gt;""),$F$35,(IF(C65=0,0,IF(C65=$F$9,0,COUPNCD(C65,$F$9,$F$11,1)))))))</f>
        <v>0</v>
      </c>
      <c r="D66" s="2"/>
      <c r="E66" s="213">
        <f t="shared" si="4"/>
        <v>0</v>
      </c>
      <c r="F66" s="52">
        <f t="shared" si="5"/>
        <v>0</v>
      </c>
      <c r="G66" s="299"/>
      <c r="H66" s="197"/>
      <c r="O66" s="101">
        <f t="shared" si="3"/>
        <v>0</v>
      </c>
      <c r="P66" s="102">
        <f t="shared" si="6"/>
        <v>0</v>
      </c>
      <c r="Q66" s="183"/>
      <c r="R66" s="21"/>
      <c r="S66" s="22"/>
      <c r="T66" s="20"/>
      <c r="U66" s="20"/>
      <c r="V66" s="20"/>
      <c r="W66" s="22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</row>
    <row r="67" spans="2:34" ht="12">
      <c r="B67" s="16"/>
      <c r="C67" s="69">
        <f>IF(OR(C66=$F$9,C66=$F$35,C66=0),0,IF(C66=$F$35,0,IF(AND(COUPNCD(C66,$F$9,$F$11,1)&gt;$F$35,$F$35&lt;&gt;""),$F$35,(IF(C66=0,0,IF(C66=$F$9,0,COUPNCD(C66,$F$9,$F$11,1)))))))</f>
        <v>0</v>
      </c>
      <c r="D67" s="2"/>
      <c r="E67" s="213">
        <f t="shared" si="4"/>
        <v>0</v>
      </c>
      <c r="F67" s="52">
        <f t="shared" si="5"/>
        <v>0</v>
      </c>
      <c r="G67" s="299"/>
      <c r="H67" s="197"/>
      <c r="O67" s="101">
        <f t="shared" si="3"/>
        <v>0</v>
      </c>
      <c r="P67" s="102">
        <f t="shared" si="6"/>
        <v>0</v>
      </c>
      <c r="Q67" s="183"/>
      <c r="R67" s="21"/>
      <c r="S67" s="22"/>
      <c r="T67" s="20"/>
      <c r="U67" s="20"/>
      <c r="V67" s="20"/>
      <c r="W67" s="22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</row>
    <row r="68" spans="2:34" ht="12">
      <c r="B68" s="16"/>
      <c r="C68" s="69">
        <f>IF(OR(C67=$F$9,C67=$F$35,C67=0),0,IF(C67=$F$35,0,IF(AND(COUPNCD(C67,$F$9,$F$11,1)&gt;$F$35,$F$35&lt;&gt;""),$F$35,(IF(C67=0,0,IF(C67=$F$9,0,COUPNCD(C67,$F$9,$F$11,1)))))))</f>
        <v>0</v>
      </c>
      <c r="D68" s="2"/>
      <c r="E68" s="213">
        <f t="shared" si="4"/>
        <v>0</v>
      </c>
      <c r="F68" s="52">
        <f t="shared" si="5"/>
        <v>0</v>
      </c>
      <c r="G68" s="299"/>
      <c r="H68" s="197"/>
      <c r="O68" s="101">
        <f t="shared" si="3"/>
        <v>0</v>
      </c>
      <c r="P68" s="102">
        <f t="shared" si="6"/>
        <v>0</v>
      </c>
      <c r="Q68" s="183"/>
      <c r="R68" s="21"/>
      <c r="S68" s="22"/>
      <c r="T68" s="20"/>
      <c r="U68" s="20"/>
      <c r="V68" s="20"/>
      <c r="W68" s="22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</row>
    <row r="69" spans="2:34" ht="12">
      <c r="B69" s="16"/>
      <c r="C69" s="69">
        <f>IF(OR(C68=$F$9,C68=$F$35,C68=0),0,IF(C68=$F$35,0,IF(AND(COUPNCD(C68,$F$9,$F$11,1)&gt;$F$35,$F$35&lt;&gt;""),$F$35,(IF(C68=0,0,IF(C68=$F$9,0,COUPNCD(C68,$F$9,$F$11,1)))))))</f>
        <v>0</v>
      </c>
      <c r="D69" s="2"/>
      <c r="E69" s="213">
        <f t="shared" si="4"/>
        <v>0</v>
      </c>
      <c r="F69" s="52">
        <f t="shared" si="5"/>
        <v>0</v>
      </c>
      <c r="G69" s="299"/>
      <c r="H69" s="197"/>
      <c r="O69" s="101">
        <f t="shared" si="3"/>
        <v>0</v>
      </c>
      <c r="P69" s="102">
        <f t="shared" si="6"/>
        <v>0</v>
      </c>
      <c r="Q69" s="183"/>
      <c r="R69" s="21"/>
      <c r="S69" s="22"/>
      <c r="T69" s="20"/>
      <c r="U69" s="20"/>
      <c r="V69" s="20"/>
      <c r="W69" s="22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</row>
    <row r="70" spans="2:34" ht="12">
      <c r="B70" s="16"/>
      <c r="C70" s="69">
        <f>IF(OR(C69=$F$9,C69=$F$35,C69=0),0,IF(C69=$F$35,0,IF(AND(COUPNCD(C69,$F$9,$F$11,1)&gt;$F$35,$F$35&lt;&gt;""),$F$35,(IF(C69=0,0,IF(C69=$F$9,0,COUPNCD(C69,$F$9,$F$11,1)))))))</f>
        <v>0</v>
      </c>
      <c r="D70" s="2"/>
      <c r="E70" s="213">
        <f t="shared" si="4"/>
        <v>0</v>
      </c>
      <c r="F70" s="52">
        <f t="shared" si="5"/>
        <v>0</v>
      </c>
      <c r="G70" s="299"/>
      <c r="H70" s="197"/>
      <c r="O70" s="101">
        <f t="shared" si="3"/>
        <v>0</v>
      </c>
      <c r="P70" s="102">
        <f t="shared" si="6"/>
        <v>0</v>
      </c>
      <c r="Q70" s="183"/>
      <c r="R70" s="21"/>
      <c r="S70" s="22"/>
      <c r="T70" s="20"/>
      <c r="U70" s="20"/>
      <c r="V70" s="20"/>
      <c r="W70" s="22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</row>
    <row r="71" spans="2:34" ht="12">
      <c r="B71" s="16"/>
      <c r="C71" s="69">
        <f>IF(OR(C70=$F$9,C70=$F$35,C70=0),0,IF(C70=$F$35,0,IF(AND(COUPNCD(C70,$F$9,$F$11,1)&gt;$F$35,$F$35&lt;&gt;""),$F$35,(IF(C70=0,0,IF(C70=$F$9,0,COUPNCD(C70,$F$9,$F$11,1)))))))</f>
        <v>0</v>
      </c>
      <c r="D71" s="2"/>
      <c r="E71" s="213">
        <f t="shared" si="4"/>
        <v>0</v>
      </c>
      <c r="F71" s="52">
        <f t="shared" si="5"/>
        <v>0</v>
      </c>
      <c r="G71" s="299"/>
      <c r="H71" s="197"/>
      <c r="O71" s="101">
        <f t="shared" si="3"/>
        <v>0</v>
      </c>
      <c r="P71" s="102">
        <f t="shared" si="6"/>
        <v>0</v>
      </c>
      <c r="Q71" s="183"/>
      <c r="R71" s="21"/>
      <c r="S71" s="22"/>
      <c r="T71" s="20"/>
      <c r="U71" s="20"/>
      <c r="V71" s="20"/>
      <c r="W71" s="22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</row>
    <row r="72" spans="2:34" ht="12">
      <c r="B72" s="16"/>
      <c r="C72" s="69">
        <f>IF(OR(C71=$F$9,C71=$F$35,C71=0),0,IF(C71=$F$35,0,IF(AND(COUPNCD(C71,$F$9,$F$11,1)&gt;$F$35,$F$35&lt;&gt;""),$F$35,(IF(C71=0,0,IF(C71=$F$9,0,COUPNCD(C71,$F$9,$F$11,1)))))))</f>
        <v>0</v>
      </c>
      <c r="D72" s="2"/>
      <c r="E72" s="213">
        <f t="shared" si="4"/>
        <v>0</v>
      </c>
      <c r="F72" s="52">
        <f t="shared" si="5"/>
        <v>0</v>
      </c>
      <c r="G72" s="299"/>
      <c r="H72" s="197"/>
      <c r="O72" s="101">
        <f t="shared" si="3"/>
        <v>0</v>
      </c>
      <c r="P72" s="102">
        <f t="shared" si="6"/>
        <v>0</v>
      </c>
      <c r="Q72" s="183"/>
      <c r="R72" s="21"/>
      <c r="S72" s="22"/>
      <c r="T72" s="20"/>
      <c r="U72" s="20"/>
      <c r="V72" s="20"/>
      <c r="W72" s="22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</row>
    <row r="73" spans="2:34" ht="12">
      <c r="B73" s="16"/>
      <c r="C73" s="69">
        <f>IF(OR(C72=$F$9,C72=$F$35,C72=0),0,IF(C72=$F$35,0,IF(AND(COUPNCD(C72,$F$9,$F$11,1)&gt;$F$35,$F$35&lt;&gt;""),$F$35,(IF(C72=0,0,IF(C72=$F$9,0,COUPNCD(C72,$F$9,$F$11,1)))))))</f>
        <v>0</v>
      </c>
      <c r="D73" s="2"/>
      <c r="E73" s="213">
        <f t="shared" si="4"/>
        <v>0</v>
      </c>
      <c r="F73" s="52">
        <f t="shared" si="5"/>
        <v>0</v>
      </c>
      <c r="G73" s="299"/>
      <c r="H73" s="197"/>
      <c r="O73" s="101">
        <f t="shared" si="3"/>
        <v>0</v>
      </c>
      <c r="P73" s="102">
        <f t="shared" si="6"/>
        <v>0</v>
      </c>
      <c r="Q73" s="183"/>
      <c r="R73" s="21"/>
      <c r="S73" s="22"/>
      <c r="T73" s="20"/>
      <c r="U73" s="20"/>
      <c r="V73" s="20"/>
      <c r="W73" s="22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</row>
    <row r="74" spans="2:34" ht="12">
      <c r="B74" s="16"/>
      <c r="C74" s="69">
        <f>IF(OR(C73=$F$9,C73=$F$35,C73=0),0,IF(C73=$F$35,0,IF(AND(COUPNCD(C73,$F$9,$F$11,1)&gt;$F$35,$F$35&lt;&gt;""),$F$35,(IF(C73=0,0,IF(C73=$F$9,0,COUPNCD(C73,$F$9,$F$11,1)))))))</f>
        <v>0</v>
      </c>
      <c r="D74" s="2"/>
      <c r="E74" s="213">
        <f t="shared" si="4"/>
        <v>0</v>
      </c>
      <c r="F74" s="52">
        <f t="shared" si="5"/>
        <v>0</v>
      </c>
      <c r="G74" s="299"/>
      <c r="H74" s="197"/>
      <c r="O74" s="101">
        <f t="shared" si="3"/>
        <v>0</v>
      </c>
      <c r="P74" s="102">
        <f t="shared" si="6"/>
        <v>0</v>
      </c>
      <c r="Q74" s="183"/>
      <c r="R74" s="21"/>
      <c r="S74" s="22"/>
      <c r="T74" s="20"/>
      <c r="U74" s="20"/>
      <c r="V74" s="20"/>
      <c r="W74" s="22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</row>
    <row r="75" spans="2:34" ht="12">
      <c r="B75" s="16"/>
      <c r="C75" s="69">
        <f>IF(OR(C74=$F$9,C74=$F$35,C74=0),0,IF(C74=$F$35,0,IF(AND(COUPNCD(C74,$F$9,$F$11,1)&gt;$F$35,$F$35&lt;&gt;""),$F$35,(IF(C74=0,0,IF(C74=$F$9,0,COUPNCD(C74,$F$9,$F$11,1)))))))</f>
        <v>0</v>
      </c>
      <c r="D75" s="2"/>
      <c r="E75" s="213">
        <f t="shared" si="4"/>
        <v>0</v>
      </c>
      <c r="F75" s="52">
        <f t="shared" si="5"/>
        <v>0</v>
      </c>
      <c r="G75" s="299"/>
      <c r="H75" s="197"/>
      <c r="O75" s="101">
        <f t="shared" si="3"/>
        <v>0</v>
      </c>
      <c r="P75" s="102">
        <f t="shared" si="6"/>
        <v>0</v>
      </c>
      <c r="Q75" s="183"/>
      <c r="R75" s="21"/>
      <c r="S75" s="22"/>
      <c r="T75" s="20"/>
      <c r="U75" s="20"/>
      <c r="V75" s="20"/>
      <c r="W75" s="22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</row>
    <row r="76" spans="2:34" ht="12">
      <c r="B76" s="16"/>
      <c r="C76" s="69">
        <f>IF(OR(C75=$F$9,C75=$F$35,C75=0),0,IF(C75=$F$35,0,IF(AND(COUPNCD(C75,$F$9,$F$11,1)&gt;$F$35,$F$35&lt;&gt;""),$F$35,(IF(C75=0,0,IF(C75=$F$9,0,COUPNCD(C75,$F$9,$F$11,1)))))))</f>
        <v>0</v>
      </c>
      <c r="D76" s="2"/>
      <c r="E76" s="213">
        <f t="shared" si="4"/>
        <v>0</v>
      </c>
      <c r="F76" s="52">
        <f t="shared" si="5"/>
        <v>0</v>
      </c>
      <c r="G76" s="299"/>
      <c r="H76" s="197"/>
      <c r="O76" s="101">
        <f t="shared" si="3"/>
        <v>0</v>
      </c>
      <c r="P76" s="102">
        <f t="shared" si="6"/>
        <v>0</v>
      </c>
      <c r="Q76" s="183"/>
      <c r="R76" s="21"/>
      <c r="S76" s="22"/>
      <c r="T76" s="20"/>
      <c r="U76" s="20"/>
      <c r="V76" s="20"/>
      <c r="W76" s="22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</row>
    <row r="77" spans="2:34" ht="12">
      <c r="B77" s="16"/>
      <c r="C77" s="69">
        <f>IF(OR(C76=$F$9,C76=$F$35,C76=0),0,IF(C76=$F$35,0,IF(AND(COUPNCD(C76,$F$9,$F$11,1)&gt;$F$35,$F$35&lt;&gt;""),$F$35,(IF(C76=0,0,IF(C76=$F$9,0,COUPNCD(C76,$F$9,$F$11,1)))))))</f>
        <v>0</v>
      </c>
      <c r="D77" s="2"/>
      <c r="E77" s="213">
        <f t="shared" si="4"/>
        <v>0</v>
      </c>
      <c r="F77" s="52">
        <f t="shared" si="5"/>
        <v>0</v>
      </c>
      <c r="G77" s="299"/>
      <c r="H77" s="197"/>
      <c r="O77" s="101">
        <f t="shared" si="3"/>
        <v>0</v>
      </c>
      <c r="P77" s="102">
        <f t="shared" si="6"/>
        <v>0</v>
      </c>
      <c r="Q77" s="183"/>
      <c r="R77" s="21"/>
      <c r="S77" s="22"/>
      <c r="T77" s="20"/>
      <c r="U77" s="20"/>
      <c r="V77" s="20"/>
      <c r="W77" s="22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</row>
    <row r="78" spans="2:34" ht="12">
      <c r="B78" s="16"/>
      <c r="C78" s="69">
        <f>IF(OR(C77=$F$9,C77=$F$35,C77=0),0,IF(C77=$F$35,0,IF(AND(COUPNCD(C77,$F$9,$F$11,1)&gt;$F$35,$F$35&lt;&gt;""),$F$35,(IF(C77=0,0,IF(C77=$F$9,0,COUPNCD(C77,$F$9,$F$11,1)))))))</f>
        <v>0</v>
      </c>
      <c r="D78" s="2"/>
      <c r="E78" s="213">
        <f t="shared" si="4"/>
        <v>0</v>
      </c>
      <c r="F78" s="52">
        <f t="shared" si="5"/>
        <v>0</v>
      </c>
      <c r="G78" s="299"/>
      <c r="H78" s="197"/>
      <c r="O78" s="101">
        <f t="shared" si="3"/>
        <v>0</v>
      </c>
      <c r="P78" s="102">
        <f t="shared" si="6"/>
        <v>0</v>
      </c>
      <c r="Q78" s="183"/>
      <c r="R78" s="21"/>
      <c r="S78" s="22"/>
      <c r="T78" s="20"/>
      <c r="U78" s="20"/>
      <c r="V78" s="20"/>
      <c r="W78" s="22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</row>
    <row r="79" spans="2:34" ht="12">
      <c r="B79" s="16"/>
      <c r="C79" s="69">
        <f>IF(OR(C78=$F$9,C78=$F$35,C78=0),0,IF(C78=$F$35,0,IF(AND(COUPNCD(C78,$F$9,$F$11,1)&gt;$F$35,$F$35&lt;&gt;""),$F$35,(IF(C78=0,0,IF(C78=$F$9,0,COUPNCD(C78,$F$9,$F$11,1)))))))</f>
        <v>0</v>
      </c>
      <c r="D79" s="2"/>
      <c r="E79" s="213">
        <f t="shared" si="4"/>
        <v>0</v>
      </c>
      <c r="F79" s="52">
        <f t="shared" si="5"/>
        <v>0</v>
      </c>
      <c r="G79" s="299"/>
      <c r="H79" s="197"/>
      <c r="O79" s="101">
        <f t="shared" si="3"/>
        <v>0</v>
      </c>
      <c r="P79" s="102">
        <f t="shared" si="6"/>
        <v>0</v>
      </c>
      <c r="Q79" s="183"/>
      <c r="R79" s="21"/>
      <c r="S79" s="22"/>
      <c r="T79" s="20"/>
      <c r="U79" s="20"/>
      <c r="V79" s="20"/>
      <c r="W79" s="22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</row>
    <row r="80" spans="2:34" ht="12">
      <c r="B80" s="16"/>
      <c r="C80" s="69">
        <f>IF(OR(C79=$F$9,C79=$F$35,C79=0),0,IF(C79=$F$35,0,IF(AND(COUPNCD(C79,$F$9,$F$11,1)&gt;$F$35,$F$35&lt;&gt;""),$F$35,(IF(C79=0,0,IF(C79=$F$9,0,COUPNCD(C79,$F$9,$F$11,1)))))))</f>
        <v>0</v>
      </c>
      <c r="D80" s="2"/>
      <c r="E80" s="213">
        <f t="shared" si="4"/>
        <v>0</v>
      </c>
      <c r="F80" s="52">
        <f t="shared" si="5"/>
        <v>0</v>
      </c>
      <c r="G80" s="299"/>
      <c r="H80" s="197"/>
      <c r="O80" s="101">
        <f t="shared" si="3"/>
        <v>0</v>
      </c>
      <c r="P80" s="102">
        <f t="shared" si="6"/>
        <v>0</v>
      </c>
      <c r="Q80" s="183"/>
      <c r="R80" s="21"/>
      <c r="S80" s="22"/>
      <c r="T80" s="20"/>
      <c r="U80" s="20"/>
      <c r="V80" s="20"/>
      <c r="W80" s="22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</row>
    <row r="81" spans="2:34" ht="12">
      <c r="B81" s="16"/>
      <c r="C81" s="69">
        <f>IF(OR(C80=$F$9,C80=$F$35,C80=0),0,IF(C80=$F$35,0,IF(AND(COUPNCD(C80,$F$9,$F$11,1)&gt;$F$35,$F$35&lt;&gt;""),$F$35,(IF(C80=0,0,IF(C80=$F$9,0,COUPNCD(C80,$F$9,$F$11,1)))))))</f>
        <v>0</v>
      </c>
      <c r="D81" s="2"/>
      <c r="E81" s="213">
        <f t="shared" si="4"/>
        <v>0</v>
      </c>
      <c r="F81" s="52">
        <f t="shared" si="5"/>
        <v>0</v>
      </c>
      <c r="G81" s="299"/>
      <c r="H81" s="197"/>
      <c r="O81" s="101">
        <f t="shared" si="3"/>
        <v>0</v>
      </c>
      <c r="P81" s="102">
        <f t="shared" si="6"/>
        <v>0</v>
      </c>
      <c r="Q81" s="183"/>
      <c r="R81" s="21"/>
      <c r="S81" s="22"/>
      <c r="T81" s="20"/>
      <c r="U81" s="20"/>
      <c r="V81" s="20"/>
      <c r="W81" s="22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</row>
    <row r="82" spans="2:34" ht="12">
      <c r="B82" s="16"/>
      <c r="C82" s="69">
        <f>IF(OR(C81=$F$9,C81=$F$35,C81=0),0,IF(C81=$F$35,0,IF(AND(COUPNCD(C81,$F$9,$F$11,1)&gt;$F$35,$F$35&lt;&gt;""),$F$35,(IF(C81=0,0,IF(C81=$F$9,0,COUPNCD(C81,$F$9,$F$11,1)))))))</f>
        <v>0</v>
      </c>
      <c r="D82" s="2"/>
      <c r="E82" s="213">
        <f t="shared" si="4"/>
        <v>0</v>
      </c>
      <c r="F82" s="52">
        <f>IF(AND(C82=0,E82=0),0,IF(C82=$F$35,$F$48*VLOOKUP($F$44,$I$6:$L$38,4,FALSE),IF(C82=$F$9,E82*100+VLOOKUP(C82,$I$8:$M$38,5,FALSE),E82*100+VLOOKUP(C82,$I$6:$M$38,5,FALSE))))</f>
        <v>0</v>
      </c>
      <c r="G82" s="299"/>
      <c r="H82" s="197"/>
      <c r="O82" s="101">
        <f t="shared" si="3"/>
        <v>0</v>
      </c>
      <c r="P82" s="102">
        <f t="shared" si="6"/>
        <v>0</v>
      </c>
      <c r="Q82" s="183"/>
      <c r="R82" s="21"/>
      <c r="S82" s="22"/>
      <c r="T82" s="20"/>
      <c r="U82" s="20"/>
      <c r="V82" s="20"/>
      <c r="W82" s="22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</row>
    <row r="83" spans="2:34" ht="12">
      <c r="B83" s="16"/>
      <c r="C83" s="69">
        <f>IF(OR(C82=$F$9,C82=$F$35,C82=0),0,IF(C82=$F$35,0,IF(AND(COUPNCD(C82,$F$9,$F$11,1)&gt;$F$35,$F$35&lt;&gt;""),$F$35,(IF(C82=0,0,IF(C82=$F$9,0,COUPNCD(C82,$F$9,$F$11,1)))))))</f>
        <v>0</v>
      </c>
      <c r="D83" s="2"/>
      <c r="E83" s="213">
        <f t="shared" si="4"/>
        <v>0</v>
      </c>
      <c r="F83" s="52">
        <f aca="true" t="shared" si="7" ref="F83:F88">IF(AND(C83=0,E83=0),0,IF(C83=$F$35,$F$48*VLOOKUP($F$44,$I$6:$L$38,4,FALSE),IF(C83=$F$9,E83*100+VLOOKUP(C83,$I$8:$M$38,5,FALSE),E83*100+VLOOKUP(C83,$I$6:$M$38,5,FALSE))))</f>
        <v>0</v>
      </c>
      <c r="G83" s="299"/>
      <c r="H83" s="197"/>
      <c r="O83" s="101">
        <f t="shared" si="3"/>
        <v>0</v>
      </c>
      <c r="P83" s="102">
        <f t="shared" si="6"/>
        <v>0</v>
      </c>
      <c r="Q83" s="183"/>
      <c r="R83" s="21"/>
      <c r="S83" s="22"/>
      <c r="T83" s="20"/>
      <c r="U83" s="20"/>
      <c r="V83" s="20"/>
      <c r="W83" s="22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</row>
    <row r="84" spans="2:34" ht="12">
      <c r="B84" s="16"/>
      <c r="C84" s="69">
        <f>IF(OR(C83=$F$9,C83=$F$35,C83=0),0,IF(C83=$F$35,0,IF(AND(COUPNCD(C83,$F$9,$F$11,1)&gt;$F$35,$F$35&lt;&gt;""),$F$35,(IF(C83=0,0,IF(C83=$F$9,0,COUPNCD(C83,$F$9,$F$11,1)))))))</f>
        <v>0</v>
      </c>
      <c r="D84" s="2"/>
      <c r="E84" s="213">
        <f t="shared" si="4"/>
        <v>0</v>
      </c>
      <c r="F84" s="52">
        <f t="shared" si="7"/>
        <v>0</v>
      </c>
      <c r="G84" s="299"/>
      <c r="H84" s="197"/>
      <c r="O84" s="101">
        <f t="shared" si="3"/>
        <v>0</v>
      </c>
      <c r="P84" s="102">
        <f t="shared" si="6"/>
        <v>0</v>
      </c>
      <c r="Q84" s="183"/>
      <c r="R84" s="21"/>
      <c r="S84" s="22"/>
      <c r="T84" s="20"/>
      <c r="U84" s="20"/>
      <c r="V84" s="20"/>
      <c r="W84" s="22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</row>
    <row r="85" spans="2:34" ht="12">
      <c r="B85" s="16"/>
      <c r="C85" s="69">
        <f>IF(OR(C84=$F$9,C84=$F$35,C84=0),0,IF(C84=$F$35,0,IF(AND(COUPNCD(C84,$F$9,$F$11,1)&gt;$F$35,$F$35&lt;&gt;""),$F$35,(IF(C84=0,0,IF(C84=$F$9,0,COUPNCD(C84,$F$9,$F$11,1)))))))</f>
        <v>0</v>
      </c>
      <c r="D85" s="2"/>
      <c r="E85" s="213">
        <f t="shared" si="4"/>
        <v>0</v>
      </c>
      <c r="F85" s="52">
        <f t="shared" si="7"/>
        <v>0</v>
      </c>
      <c r="G85" s="299"/>
      <c r="H85" s="197"/>
      <c r="O85" s="101">
        <f t="shared" si="3"/>
        <v>0</v>
      </c>
      <c r="P85" s="102">
        <f t="shared" si="6"/>
        <v>0</v>
      </c>
      <c r="Q85" s="183"/>
      <c r="R85" s="21"/>
      <c r="S85" s="22"/>
      <c r="T85" s="20"/>
      <c r="U85" s="20"/>
      <c r="V85" s="20"/>
      <c r="W85" s="22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</row>
    <row r="86" spans="2:34" ht="12">
      <c r="B86" s="16"/>
      <c r="C86" s="69">
        <f>IF(OR(C85=$F$9,C85=$F$35,C85=0),0,IF(C85=$F$35,0,IF(AND(COUPNCD(C85,$F$9,$F$11,1)&gt;$F$35,$F$35&lt;&gt;""),$F$35,(IF(C85=0,0,IF(C85=$F$9,0,COUPNCD(C85,$F$9,$F$11,1)))))))</f>
        <v>0</v>
      </c>
      <c r="D86" s="2"/>
      <c r="E86" s="213">
        <f t="shared" si="4"/>
        <v>0</v>
      </c>
      <c r="F86" s="52">
        <f t="shared" si="7"/>
        <v>0</v>
      </c>
      <c r="G86" s="299"/>
      <c r="H86" s="197"/>
      <c r="O86" s="101">
        <f t="shared" si="3"/>
        <v>0</v>
      </c>
      <c r="P86" s="102">
        <f t="shared" si="6"/>
        <v>0</v>
      </c>
      <c r="Q86" s="183"/>
      <c r="R86" s="21"/>
      <c r="S86" s="22"/>
      <c r="T86" s="20"/>
      <c r="U86" s="20"/>
      <c r="V86" s="20"/>
      <c r="W86" s="22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</row>
    <row r="87" spans="2:34" ht="12">
      <c r="B87" s="16"/>
      <c r="C87" s="69">
        <f>IF(OR(C86=$F$9,C86=$F$35,C86=0),0,IF(C86=$F$35,0,IF(AND(COUPNCD(C86,$F$9,$F$11,1)&gt;$F$35,$F$35&lt;&gt;""),$F$35,(IF(C86=0,0,IF(C86=$F$9,0,COUPNCD(C86,$F$9,$F$11,1)))))))</f>
        <v>0</v>
      </c>
      <c r="D87" s="2"/>
      <c r="E87" s="213">
        <f t="shared" si="4"/>
        <v>0</v>
      </c>
      <c r="F87" s="52">
        <f t="shared" si="7"/>
        <v>0</v>
      </c>
      <c r="G87" s="299"/>
      <c r="H87" s="197"/>
      <c r="O87" s="101">
        <f t="shared" si="3"/>
        <v>0</v>
      </c>
      <c r="P87" s="102">
        <f t="shared" si="6"/>
        <v>0</v>
      </c>
      <c r="Q87" s="183"/>
      <c r="R87" s="21"/>
      <c r="S87" s="22"/>
      <c r="T87" s="20"/>
      <c r="U87" s="20"/>
      <c r="V87" s="20"/>
      <c r="W87" s="22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</row>
    <row r="88" spans="2:34" ht="12">
      <c r="B88" s="16"/>
      <c r="C88" s="69">
        <f>IF(OR(C87=$F$9,C87=$F$35,C87=0),0,IF(C87=$F$35,0,IF(AND(COUPNCD(C87,$F$9,$F$11,1)&gt;$F$35,$F$35&lt;&gt;""),$F$35,(IF(C87=0,0,IF(C87=$F$9,0,COUPNCD(C87,$F$9,$F$11,1)))))))</f>
        <v>0</v>
      </c>
      <c r="D88" s="2"/>
      <c r="E88" s="213">
        <f t="shared" si="4"/>
        <v>0</v>
      </c>
      <c r="F88" s="52">
        <f t="shared" si="7"/>
        <v>0</v>
      </c>
      <c r="G88" s="299"/>
      <c r="H88" s="197"/>
      <c r="O88" s="101">
        <f t="shared" si="3"/>
        <v>0</v>
      </c>
      <c r="P88" s="102">
        <f t="shared" si="6"/>
        <v>0</v>
      </c>
      <c r="Q88" s="183"/>
      <c r="R88" s="21"/>
      <c r="S88" s="22"/>
      <c r="T88" s="20"/>
      <c r="U88" s="20"/>
      <c r="V88" s="20"/>
      <c r="W88" s="22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</row>
    <row r="89" spans="2:34" ht="12.75" thickBot="1">
      <c r="B89" s="72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4"/>
      <c r="S89" s="20"/>
      <c r="T89" s="20"/>
      <c r="U89" s="20"/>
      <c r="V89" s="20"/>
      <c r="W89" s="20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</row>
    <row r="90" spans="15:34" ht="12.75" thickTop="1"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</row>
    <row r="91" spans="15:34" ht="12"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</row>
    <row r="92" spans="15:34" ht="12"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</row>
    <row r="93" spans="15:34" ht="12"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</row>
    <row r="94" spans="15:34" ht="12"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</row>
    <row r="95" spans="15:34" ht="12"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</row>
    <row r="96" spans="15:34" ht="12"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</row>
    <row r="97" spans="15:34" ht="12"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</row>
    <row r="98" spans="15:34" ht="12"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</row>
    <row r="99" spans="15:34" ht="12"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</row>
    <row r="100" spans="15:34" ht="12"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</row>
    <row r="101" spans="15:34" ht="12"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</row>
    <row r="102" spans="15:34" ht="12"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</row>
    <row r="103" spans="15:34" ht="12"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</row>
    <row r="104" spans="15:34" ht="12"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</row>
    <row r="105" spans="15:34" ht="12"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</row>
    <row r="106" spans="15:34" ht="12"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</row>
    <row r="107" spans="15:34" ht="12"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</row>
    <row r="108" spans="15:34" ht="12"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</row>
    <row r="109" spans="15:34" ht="12"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</row>
    <row r="110" spans="15:34" ht="12"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</row>
    <row r="111" spans="15:34" ht="12"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</row>
    <row r="112" spans="15:34" ht="12"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</row>
    <row r="113" spans="15:34" ht="12"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</row>
    <row r="114" spans="15:34" ht="12"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</row>
    <row r="115" spans="15:34" ht="12"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</row>
    <row r="116" spans="15:34" ht="12"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</row>
    <row r="117" spans="15:34" ht="12"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</row>
    <row r="118" spans="15:34" ht="12"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</row>
    <row r="119" spans="15:34" ht="12"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</row>
    <row r="120" spans="15:34" ht="12"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</row>
    <row r="121" spans="15:34" ht="12"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</row>
    <row r="122" spans="15:34" ht="12"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</row>
    <row r="123" spans="15:34" ht="12"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</row>
    <row r="124" spans="15:34" ht="12"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</row>
    <row r="125" spans="15:34" ht="12"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</row>
    <row r="126" spans="15:34" ht="12"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</row>
    <row r="127" spans="15:34" ht="12"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</row>
    <row r="128" spans="15:34" ht="12"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</row>
    <row r="129" spans="15:34" ht="12"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</row>
    <row r="130" spans="15:34" ht="12"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</row>
    <row r="131" spans="15:34" ht="12"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</row>
    <row r="132" spans="15:34" ht="12"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</row>
    <row r="133" spans="15:34" ht="12"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</row>
    <row r="134" spans="15:34" ht="12"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</row>
    <row r="135" spans="15:34" ht="12"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</row>
    <row r="136" spans="15:34" ht="12"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</row>
    <row r="137" spans="15:34" ht="12"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</row>
    <row r="138" spans="15:34" ht="12"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</row>
    <row r="139" spans="15:34" ht="12"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</row>
    <row r="140" spans="15:34" ht="12"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</row>
    <row r="141" spans="15:34" ht="12"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</row>
    <row r="142" spans="15:34" ht="12"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</row>
    <row r="143" spans="15:34" ht="12"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</row>
    <row r="144" spans="15:34" ht="12"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</row>
    <row r="145" spans="15:34" ht="12"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</row>
    <row r="146" spans="15:34" ht="12"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</row>
    <row r="147" spans="15:34" ht="12"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</row>
    <row r="148" spans="15:34" ht="12"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</row>
    <row r="149" spans="15:34" ht="12"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</row>
    <row r="150" spans="15:34" ht="12"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</row>
    <row r="151" spans="15:34" ht="12"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</row>
    <row r="152" spans="15:34" ht="12"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</row>
    <row r="153" spans="15:34" ht="12"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</row>
    <row r="154" spans="15:34" ht="12"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</row>
    <row r="155" spans="15:34" ht="12"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</row>
    <row r="156" spans="15:34" ht="12"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</row>
    <row r="157" spans="15:34" ht="12"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</row>
    <row r="158" spans="15:34" ht="12"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</row>
    <row r="159" spans="15:34" ht="12"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</row>
    <row r="160" spans="15:34" ht="12"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</row>
    <row r="161" spans="15:34" ht="12"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</row>
    <row r="162" spans="15:34" ht="12"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</row>
    <row r="163" spans="15:34" ht="12"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</row>
    <row r="164" spans="15:34" ht="12"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</row>
    <row r="165" spans="15:34" ht="12"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</row>
    <row r="166" spans="15:34" ht="12"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</row>
    <row r="167" spans="15:34" ht="12"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</row>
    <row r="168" spans="15:34" ht="12"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</row>
    <row r="169" spans="15:34" ht="12"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</row>
    <row r="170" spans="15:34" ht="12"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</row>
    <row r="171" spans="15:34" ht="12"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</row>
    <row r="172" spans="15:34" ht="12"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</row>
    <row r="173" spans="15:34" ht="12"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</row>
    <row r="174" spans="15:34" ht="12"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</row>
    <row r="175" spans="15:34" ht="12"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</row>
    <row r="176" spans="15:34" ht="12"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</row>
    <row r="177" spans="15:34" ht="12"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</row>
    <row r="178" spans="15:34" ht="12"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</row>
    <row r="179" spans="15:34" ht="12"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</row>
    <row r="180" spans="15:34" ht="12"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</row>
    <row r="181" spans="15:34" ht="12"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</row>
    <row r="182" spans="15:34" ht="12"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</row>
    <row r="183" spans="15:34" ht="12"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</row>
    <row r="184" spans="15:34" ht="12"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</row>
    <row r="185" spans="15:34" ht="12"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</row>
    <row r="186" spans="15:34" ht="12"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</row>
    <row r="187" spans="15:34" ht="12"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</row>
    <row r="188" spans="15:34" ht="12"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</row>
    <row r="189" spans="15:34" ht="12"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</row>
    <row r="190" spans="15:34" ht="12"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</row>
    <row r="191" spans="15:34" ht="12"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</row>
    <row r="192" spans="15:34" ht="12"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</row>
    <row r="193" spans="15:34" ht="12"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</row>
    <row r="194" spans="15:34" ht="12"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</row>
    <row r="195" spans="15:34" ht="12"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</row>
    <row r="196" spans="15:34" ht="12"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</row>
    <row r="197" spans="15:34" ht="12"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</row>
    <row r="198" spans="15:34" ht="12"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</row>
    <row r="199" spans="15:34" ht="12"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</row>
    <row r="200" spans="15:34" ht="12"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</row>
    <row r="201" spans="15:34" ht="12"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</row>
    <row r="202" spans="15:34" ht="12"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</row>
    <row r="203" spans="15:34" ht="12"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</row>
    <row r="204" spans="15:34" ht="12"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</row>
    <row r="205" spans="15:34" ht="12"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</row>
    <row r="206" spans="15:34" ht="12"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</row>
    <row r="207" spans="15:34" ht="12"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</row>
    <row r="208" spans="15:34" ht="12"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</row>
    <row r="209" spans="15:34" ht="12"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</row>
    <row r="210" spans="15:34" ht="12"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</row>
    <row r="211" spans="15:34" ht="12">
      <c r="O211" s="215"/>
      <c r="P211" s="215"/>
      <c r="Q211" s="215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</row>
    <row r="212" spans="15:34" ht="12"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</row>
    <row r="213" spans="15:34" ht="12"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</row>
    <row r="214" spans="15:34" ht="12"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</row>
    <row r="215" spans="15:34" ht="12"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</row>
    <row r="216" spans="15:34" ht="12"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</row>
    <row r="217" spans="15:34" ht="12"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</row>
    <row r="218" spans="15:34" ht="12"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  <c r="AF218" s="215"/>
      <c r="AG218" s="215"/>
      <c r="AH218" s="215"/>
    </row>
    <row r="219" spans="15:34" ht="12"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  <c r="AG219" s="215"/>
      <c r="AH219" s="215"/>
    </row>
    <row r="220" spans="15:34" ht="12"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</row>
    <row r="221" spans="15:34" ht="12"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</row>
    <row r="222" spans="15:34" ht="12"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</row>
    <row r="223" spans="15:34" ht="12"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</row>
    <row r="224" spans="15:34" ht="12"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</row>
    <row r="225" spans="15:34" ht="12"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</row>
    <row r="226" spans="15:34" ht="12"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</row>
    <row r="227" spans="15:34" ht="12"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5"/>
      <c r="AA227" s="215"/>
      <c r="AB227" s="215"/>
      <c r="AC227" s="215"/>
      <c r="AD227" s="215"/>
      <c r="AE227" s="215"/>
      <c r="AF227" s="215"/>
      <c r="AG227" s="215"/>
      <c r="AH227" s="215"/>
    </row>
    <row r="228" spans="15:34" ht="12"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5"/>
      <c r="AG228" s="215"/>
      <c r="AH228" s="215"/>
    </row>
    <row r="229" spans="15:34" ht="12"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</row>
    <row r="230" spans="15:34" ht="12"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</row>
    <row r="231" spans="15:34" ht="12"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</row>
    <row r="232" spans="15:34" ht="12"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15"/>
    </row>
    <row r="233" spans="15:34" ht="12"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</row>
    <row r="234" spans="15:34" ht="12"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</row>
    <row r="235" spans="15:34" ht="12">
      <c r="O235" s="215"/>
      <c r="P235" s="215"/>
      <c r="Q235" s="215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  <c r="AG235" s="215"/>
      <c r="AH235" s="215"/>
    </row>
    <row r="236" spans="15:34" ht="12"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</row>
    <row r="237" spans="15:34" ht="12"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</row>
    <row r="238" spans="15:34" ht="12"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15"/>
      <c r="Z238" s="215"/>
      <c r="AA238" s="215"/>
      <c r="AB238" s="215"/>
      <c r="AC238" s="215"/>
      <c r="AD238" s="215"/>
      <c r="AE238" s="215"/>
      <c r="AF238" s="215"/>
      <c r="AG238" s="215"/>
      <c r="AH238" s="215"/>
    </row>
    <row r="239" spans="15:34" ht="12">
      <c r="O239" s="215"/>
      <c r="P239" s="215"/>
      <c r="Q239" s="215"/>
      <c r="R239" s="215"/>
      <c r="S239" s="215"/>
      <c r="T239" s="215"/>
      <c r="U239" s="215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</row>
    <row r="240" spans="15:34" ht="12">
      <c r="O240" s="215"/>
      <c r="P240" s="215"/>
      <c r="Q240" s="215"/>
      <c r="R240" s="215"/>
      <c r="S240" s="215"/>
      <c r="T240" s="215"/>
      <c r="U240" s="215"/>
      <c r="V240" s="215"/>
      <c r="W240" s="215"/>
      <c r="X240" s="215"/>
      <c r="Y240" s="215"/>
      <c r="Z240" s="215"/>
      <c r="AA240" s="215"/>
      <c r="AB240" s="215"/>
      <c r="AC240" s="215"/>
      <c r="AD240" s="215"/>
      <c r="AE240" s="215"/>
      <c r="AF240" s="215"/>
      <c r="AG240" s="215"/>
      <c r="AH240" s="215"/>
    </row>
    <row r="241" spans="15:34" ht="12"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  <c r="AD241" s="215"/>
      <c r="AE241" s="215"/>
      <c r="AF241" s="215"/>
      <c r="AG241" s="215"/>
      <c r="AH241" s="215"/>
    </row>
    <row r="242" spans="15:34" ht="12"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</row>
    <row r="243" spans="15:34" ht="12">
      <c r="O243" s="215"/>
      <c r="P243" s="215"/>
      <c r="Q243" s="215"/>
      <c r="R243" s="215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215"/>
      <c r="AD243" s="215"/>
      <c r="AE243" s="215"/>
      <c r="AF243" s="215"/>
      <c r="AG243" s="215"/>
      <c r="AH243" s="215"/>
    </row>
    <row r="244" spans="15:34" ht="12"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</row>
    <row r="245" spans="15:34" ht="12">
      <c r="O245" s="215"/>
      <c r="P245" s="215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</row>
    <row r="246" spans="15:34" ht="12">
      <c r="O246" s="215"/>
      <c r="P246" s="215"/>
      <c r="Q246" s="215"/>
      <c r="R246" s="215"/>
      <c r="S246" s="215"/>
      <c r="T246" s="215"/>
      <c r="U246" s="215"/>
      <c r="V246" s="215"/>
      <c r="W246" s="215"/>
      <c r="X246" s="215"/>
      <c r="Y246" s="215"/>
      <c r="Z246" s="215"/>
      <c r="AA246" s="215"/>
      <c r="AB246" s="215"/>
      <c r="AC246" s="215"/>
      <c r="AD246" s="215"/>
      <c r="AE246" s="215"/>
      <c r="AF246" s="215"/>
      <c r="AG246" s="215"/>
      <c r="AH246" s="215"/>
    </row>
    <row r="247" spans="15:34" ht="12">
      <c r="O247" s="215"/>
      <c r="P247" s="215"/>
      <c r="Q247" s="215"/>
      <c r="R247" s="215"/>
      <c r="S247" s="215"/>
      <c r="T247" s="215"/>
      <c r="U247" s="215"/>
      <c r="V247" s="215"/>
      <c r="W247" s="215"/>
      <c r="X247" s="215"/>
      <c r="Y247" s="215"/>
      <c r="Z247" s="215"/>
      <c r="AA247" s="215"/>
      <c r="AB247" s="215"/>
      <c r="AC247" s="215"/>
      <c r="AD247" s="215"/>
      <c r="AE247" s="215"/>
      <c r="AF247" s="215"/>
      <c r="AG247" s="215"/>
      <c r="AH247" s="215"/>
    </row>
    <row r="248" spans="15:34" ht="12">
      <c r="O248" s="215"/>
      <c r="P248" s="215"/>
      <c r="Q248" s="215"/>
      <c r="R248" s="215"/>
      <c r="S248" s="215"/>
      <c r="T248" s="215"/>
      <c r="U248" s="215"/>
      <c r="V248" s="215"/>
      <c r="W248" s="215"/>
      <c r="X248" s="215"/>
      <c r="Y248" s="215"/>
      <c r="Z248" s="215"/>
      <c r="AA248" s="215"/>
      <c r="AB248" s="215"/>
      <c r="AC248" s="215"/>
      <c r="AD248" s="215"/>
      <c r="AE248" s="215"/>
      <c r="AF248" s="215"/>
      <c r="AG248" s="215"/>
      <c r="AH248" s="215"/>
    </row>
    <row r="249" spans="15:34" ht="12"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5"/>
      <c r="AB249" s="215"/>
      <c r="AC249" s="215"/>
      <c r="AD249" s="215"/>
      <c r="AE249" s="215"/>
      <c r="AF249" s="215"/>
      <c r="AG249" s="215"/>
      <c r="AH249" s="215"/>
    </row>
    <row r="250" spans="15:34" ht="12"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</row>
    <row r="251" spans="15:34" ht="12"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215"/>
      <c r="AG251" s="215"/>
      <c r="AH251" s="215"/>
    </row>
    <row r="252" spans="15:34" ht="12">
      <c r="O252" s="215"/>
      <c r="P252" s="215"/>
      <c r="Q252" s="215"/>
      <c r="R252" s="215"/>
      <c r="S252" s="215"/>
      <c r="T252" s="215"/>
      <c r="U252" s="215"/>
      <c r="V252" s="215"/>
      <c r="W252" s="215"/>
      <c r="X252" s="215"/>
      <c r="Y252" s="215"/>
      <c r="Z252" s="215"/>
      <c r="AA252" s="215"/>
      <c r="AB252" s="215"/>
      <c r="AC252" s="215"/>
      <c r="AD252" s="215"/>
      <c r="AE252" s="215"/>
      <c r="AF252" s="215"/>
      <c r="AG252" s="215"/>
      <c r="AH252" s="215"/>
    </row>
    <row r="253" spans="15:34" ht="12">
      <c r="O253" s="215"/>
      <c r="P253" s="215"/>
      <c r="Q253" s="21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  <c r="AC253" s="215"/>
      <c r="AD253" s="215"/>
      <c r="AE253" s="215"/>
      <c r="AF253" s="215"/>
      <c r="AG253" s="215"/>
      <c r="AH253" s="215"/>
    </row>
    <row r="254" spans="15:34" ht="12"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15"/>
      <c r="Z254" s="215"/>
      <c r="AA254" s="215"/>
      <c r="AB254" s="215"/>
      <c r="AC254" s="215"/>
      <c r="AD254" s="215"/>
      <c r="AE254" s="215"/>
      <c r="AF254" s="215"/>
      <c r="AG254" s="215"/>
      <c r="AH254" s="215"/>
    </row>
    <row r="255" spans="15:34" ht="12">
      <c r="O255" s="215"/>
      <c r="P255" s="215"/>
      <c r="Q255" s="215"/>
      <c r="R255" s="215"/>
      <c r="S255" s="215"/>
      <c r="T255" s="215"/>
      <c r="U255" s="215"/>
      <c r="V255" s="215"/>
      <c r="W255" s="215"/>
      <c r="X255" s="215"/>
      <c r="Y255" s="215"/>
      <c r="Z255" s="215"/>
      <c r="AA255" s="215"/>
      <c r="AB255" s="215"/>
      <c r="AC255" s="215"/>
      <c r="AD255" s="215"/>
      <c r="AE255" s="215"/>
      <c r="AF255" s="215"/>
      <c r="AG255" s="215"/>
      <c r="AH255" s="215"/>
    </row>
    <row r="256" spans="15:34" ht="12">
      <c r="O256" s="215"/>
      <c r="P256" s="215"/>
      <c r="Q256" s="215"/>
      <c r="R256" s="215"/>
      <c r="S256" s="215"/>
      <c r="T256" s="215"/>
      <c r="U256" s="215"/>
      <c r="V256" s="215"/>
      <c r="W256" s="215"/>
      <c r="X256" s="215"/>
      <c r="Y256" s="215"/>
      <c r="Z256" s="215"/>
      <c r="AA256" s="215"/>
      <c r="AB256" s="215"/>
      <c r="AC256" s="215"/>
      <c r="AD256" s="215"/>
      <c r="AE256" s="215"/>
      <c r="AF256" s="215"/>
      <c r="AG256" s="215"/>
      <c r="AH256" s="215"/>
    </row>
    <row r="257" spans="15:34" ht="12">
      <c r="O257" s="215"/>
      <c r="P257" s="215"/>
      <c r="Q257" s="215"/>
      <c r="R257" s="215"/>
      <c r="S257" s="215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  <c r="AG257" s="215"/>
      <c r="AH257" s="215"/>
    </row>
    <row r="258" spans="15:34" ht="12"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5"/>
      <c r="AG258" s="215"/>
      <c r="AH258" s="215"/>
    </row>
    <row r="259" spans="15:34" ht="12">
      <c r="O259" s="215"/>
      <c r="P259" s="215"/>
      <c r="Q259" s="215"/>
      <c r="R259" s="215"/>
      <c r="S259" s="215"/>
      <c r="T259" s="215"/>
      <c r="U259" s="215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  <c r="AG259" s="215"/>
      <c r="AH259" s="215"/>
    </row>
    <row r="260" spans="15:34" ht="12"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  <c r="AG260" s="215"/>
      <c r="AH260" s="215"/>
    </row>
    <row r="261" spans="15:34" ht="12">
      <c r="O261" s="215"/>
      <c r="P261" s="215"/>
      <c r="Q261" s="215"/>
      <c r="R261" s="215"/>
      <c r="S261" s="215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5"/>
      <c r="AE261" s="215"/>
      <c r="AF261" s="215"/>
      <c r="AG261" s="215"/>
      <c r="AH261" s="215"/>
    </row>
    <row r="262" spans="15:34" ht="12"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  <c r="AG262" s="215"/>
      <c r="AH262" s="215"/>
    </row>
    <row r="263" spans="15:34" ht="12">
      <c r="O263" s="215"/>
      <c r="P263" s="215"/>
      <c r="Q263" s="215"/>
      <c r="R263" s="215"/>
      <c r="S263" s="215"/>
      <c r="T263" s="215"/>
      <c r="U263" s="215"/>
      <c r="V263" s="215"/>
      <c r="W263" s="215"/>
      <c r="X263" s="215"/>
      <c r="Y263" s="215"/>
      <c r="Z263" s="215"/>
      <c r="AA263" s="215"/>
      <c r="AB263" s="215"/>
      <c r="AC263" s="215"/>
      <c r="AD263" s="215"/>
      <c r="AE263" s="215"/>
      <c r="AF263" s="215"/>
      <c r="AG263" s="215"/>
      <c r="AH263" s="215"/>
    </row>
    <row r="264" spans="15:34" ht="12">
      <c r="O264" s="215"/>
      <c r="P264" s="215"/>
      <c r="Q264" s="215"/>
      <c r="R264" s="215"/>
      <c r="S264" s="215"/>
      <c r="T264" s="215"/>
      <c r="U264" s="215"/>
      <c r="V264" s="215"/>
      <c r="W264" s="215"/>
      <c r="X264" s="215"/>
      <c r="Y264" s="215"/>
      <c r="Z264" s="215"/>
      <c r="AA264" s="215"/>
      <c r="AB264" s="215"/>
      <c r="AC264" s="215"/>
      <c r="AD264" s="215"/>
      <c r="AE264" s="215"/>
      <c r="AF264" s="215"/>
      <c r="AG264" s="215"/>
      <c r="AH264" s="215"/>
    </row>
    <row r="265" spans="15:34" ht="12"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215"/>
      <c r="AD265" s="215"/>
      <c r="AE265" s="215"/>
      <c r="AF265" s="215"/>
      <c r="AG265" s="215"/>
      <c r="AH265" s="215"/>
    </row>
    <row r="266" spans="15:34" ht="12"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5"/>
      <c r="AE266" s="215"/>
      <c r="AF266" s="215"/>
      <c r="AG266" s="215"/>
      <c r="AH266" s="215"/>
    </row>
    <row r="267" spans="15:34" ht="12"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5"/>
      <c r="AG267" s="215"/>
      <c r="AH267" s="215"/>
    </row>
    <row r="268" spans="15:34" ht="12"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  <c r="AG268" s="215"/>
      <c r="AH268" s="215"/>
    </row>
    <row r="269" spans="15:34" ht="12"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15"/>
      <c r="Z269" s="215"/>
      <c r="AA269" s="215"/>
      <c r="AB269" s="215"/>
      <c r="AC269" s="215"/>
      <c r="AD269" s="215"/>
      <c r="AE269" s="215"/>
      <c r="AF269" s="215"/>
      <c r="AG269" s="215"/>
      <c r="AH269" s="215"/>
    </row>
    <row r="270" spans="15:34" ht="12"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5"/>
      <c r="AE270" s="215"/>
      <c r="AF270" s="215"/>
      <c r="AG270" s="215"/>
      <c r="AH270" s="215"/>
    </row>
    <row r="271" spans="15:34" ht="12">
      <c r="O271" s="215"/>
      <c r="P271" s="215"/>
      <c r="Q271" s="215"/>
      <c r="R271" s="215"/>
      <c r="S271" s="215"/>
      <c r="T271" s="215"/>
      <c r="U271" s="215"/>
      <c r="V271" s="215"/>
      <c r="W271" s="215"/>
      <c r="X271" s="215"/>
      <c r="Y271" s="215"/>
      <c r="Z271" s="215"/>
      <c r="AA271" s="215"/>
      <c r="AB271" s="215"/>
      <c r="AC271" s="215"/>
      <c r="AD271" s="215"/>
      <c r="AE271" s="215"/>
      <c r="AF271" s="215"/>
      <c r="AG271" s="215"/>
      <c r="AH271" s="215"/>
    </row>
    <row r="272" spans="15:34" ht="12"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15"/>
      <c r="Z272" s="215"/>
      <c r="AA272" s="215"/>
      <c r="AB272" s="215"/>
      <c r="AC272" s="215"/>
      <c r="AD272" s="215"/>
      <c r="AE272" s="215"/>
      <c r="AF272" s="215"/>
      <c r="AG272" s="215"/>
      <c r="AH272" s="215"/>
    </row>
    <row r="273" spans="15:34" ht="12"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15"/>
      <c r="Z273" s="215"/>
      <c r="AA273" s="215"/>
      <c r="AB273" s="215"/>
      <c r="AC273" s="215"/>
      <c r="AD273" s="215"/>
      <c r="AE273" s="215"/>
      <c r="AF273" s="215"/>
      <c r="AG273" s="215"/>
      <c r="AH273" s="215"/>
    </row>
    <row r="274" spans="15:34" ht="12"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215"/>
      <c r="AG274" s="215"/>
      <c r="AH274" s="215"/>
    </row>
    <row r="275" spans="15:34" ht="12"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215"/>
      <c r="AF275" s="215"/>
      <c r="AG275" s="215"/>
      <c r="AH275" s="215"/>
    </row>
    <row r="276" spans="15:34" ht="12"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215"/>
      <c r="AF276" s="215"/>
      <c r="AG276" s="215"/>
      <c r="AH276" s="215"/>
    </row>
    <row r="277" spans="15:34" ht="12"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215"/>
      <c r="AF277" s="215"/>
      <c r="AG277" s="215"/>
      <c r="AH277" s="215"/>
    </row>
    <row r="278" spans="15:34" ht="12"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215"/>
      <c r="AF278" s="215"/>
      <c r="AG278" s="215"/>
      <c r="AH278" s="215"/>
    </row>
    <row r="279" spans="15:34" ht="12"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215"/>
      <c r="AF279" s="215"/>
      <c r="AG279" s="215"/>
      <c r="AH279" s="215"/>
    </row>
    <row r="280" spans="15:34" ht="12"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215"/>
      <c r="AF280" s="215"/>
      <c r="AG280" s="215"/>
      <c r="AH280" s="215"/>
    </row>
    <row r="281" spans="15:34" ht="12"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215"/>
      <c r="AG281" s="215"/>
      <c r="AH281" s="215"/>
    </row>
    <row r="282" spans="15:34" ht="12"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215"/>
      <c r="AF282" s="215"/>
      <c r="AG282" s="215"/>
      <c r="AH282" s="215"/>
    </row>
    <row r="283" spans="15:34" ht="12"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215"/>
      <c r="AF283" s="215"/>
      <c r="AG283" s="215"/>
      <c r="AH283" s="215"/>
    </row>
    <row r="284" spans="15:34" ht="12"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215"/>
      <c r="AF284" s="215"/>
      <c r="AG284" s="215"/>
      <c r="AH284" s="215"/>
    </row>
    <row r="285" spans="15:34" ht="12"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215"/>
      <c r="AF285" s="215"/>
      <c r="AG285" s="215"/>
      <c r="AH285" s="215"/>
    </row>
    <row r="286" spans="15:34" ht="12"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  <c r="AG286" s="215"/>
      <c r="AH286" s="215"/>
    </row>
    <row r="287" spans="15:34" ht="12"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215"/>
      <c r="AF287" s="215"/>
      <c r="AG287" s="215"/>
      <c r="AH287" s="215"/>
    </row>
    <row r="288" spans="15:34" ht="12"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215"/>
      <c r="AG288" s="215"/>
      <c r="AH288" s="215"/>
    </row>
    <row r="289" spans="15:34" ht="12"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215"/>
      <c r="AF289" s="215"/>
      <c r="AG289" s="215"/>
      <c r="AH289" s="215"/>
    </row>
    <row r="290" spans="15:34" ht="12">
      <c r="O290" s="215"/>
      <c r="P290" s="215"/>
      <c r="Q290" s="215"/>
      <c r="R290" s="215"/>
      <c r="S290" s="215"/>
      <c r="T290" s="215"/>
      <c r="U290" s="215"/>
      <c r="V290" s="215"/>
      <c r="W290" s="215"/>
      <c r="X290" s="215"/>
      <c r="Y290" s="215"/>
      <c r="Z290" s="215"/>
      <c r="AA290" s="215"/>
      <c r="AB290" s="215"/>
      <c r="AC290" s="215"/>
      <c r="AD290" s="215"/>
      <c r="AE290" s="215"/>
      <c r="AF290" s="215"/>
      <c r="AG290" s="215"/>
      <c r="AH290" s="215"/>
    </row>
    <row r="291" spans="15:34" ht="12"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215"/>
      <c r="AF291" s="215"/>
      <c r="AG291" s="215"/>
      <c r="AH291" s="215"/>
    </row>
    <row r="292" spans="15:34" ht="12">
      <c r="O292" s="215"/>
      <c r="P292" s="215"/>
      <c r="Q292" s="215"/>
      <c r="R292" s="215"/>
      <c r="S292" s="215"/>
      <c r="T292" s="215"/>
      <c r="U292" s="215"/>
      <c r="V292" s="215"/>
      <c r="W292" s="215"/>
      <c r="X292" s="215"/>
      <c r="Y292" s="215"/>
      <c r="Z292" s="215"/>
      <c r="AA292" s="215"/>
      <c r="AB292" s="215"/>
      <c r="AC292" s="215"/>
      <c r="AD292" s="215"/>
      <c r="AE292" s="215"/>
      <c r="AF292" s="215"/>
      <c r="AG292" s="215"/>
      <c r="AH292" s="215"/>
    </row>
    <row r="293" spans="15:34" ht="12"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215"/>
      <c r="AF293" s="215"/>
      <c r="AG293" s="215"/>
      <c r="AH293" s="215"/>
    </row>
    <row r="294" spans="15:34" ht="12">
      <c r="O294" s="215"/>
      <c r="P294" s="215"/>
      <c r="Q294" s="215"/>
      <c r="R294" s="215"/>
      <c r="S294" s="215"/>
      <c r="T294" s="215"/>
      <c r="U294" s="215"/>
      <c r="V294" s="215"/>
      <c r="W294" s="215"/>
      <c r="X294" s="215"/>
      <c r="Y294" s="215"/>
      <c r="Z294" s="215"/>
      <c r="AA294" s="215"/>
      <c r="AB294" s="215"/>
      <c r="AC294" s="215"/>
      <c r="AD294" s="215"/>
      <c r="AE294" s="215"/>
      <c r="AF294" s="215"/>
      <c r="AG294" s="215"/>
      <c r="AH294" s="215"/>
    </row>
    <row r="295" spans="15:34" ht="12"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215"/>
      <c r="AG295" s="215"/>
      <c r="AH295" s="215"/>
    </row>
    <row r="296" spans="15:34" ht="12"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5"/>
      <c r="AA296" s="215"/>
      <c r="AB296" s="215"/>
      <c r="AC296" s="215"/>
      <c r="AD296" s="215"/>
      <c r="AE296" s="215"/>
      <c r="AF296" s="215"/>
      <c r="AG296" s="215"/>
      <c r="AH296" s="215"/>
    </row>
    <row r="297" spans="15:34" ht="12"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  <c r="AB297" s="215"/>
      <c r="AC297" s="215"/>
      <c r="AD297" s="215"/>
      <c r="AE297" s="215"/>
      <c r="AF297" s="215"/>
      <c r="AG297" s="215"/>
      <c r="AH297" s="215"/>
    </row>
    <row r="298" spans="15:34" ht="12"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  <c r="AB298" s="215"/>
      <c r="AC298" s="215"/>
      <c r="AD298" s="215"/>
      <c r="AE298" s="215"/>
      <c r="AF298" s="215"/>
      <c r="AG298" s="215"/>
      <c r="AH298" s="215"/>
    </row>
    <row r="299" spans="15:34" ht="12">
      <c r="O299" s="215"/>
      <c r="P299" s="215"/>
      <c r="Q299" s="215"/>
      <c r="R299" s="215"/>
      <c r="S299" s="215"/>
      <c r="T299" s="215"/>
      <c r="U299" s="215"/>
      <c r="V299" s="215"/>
      <c r="W299" s="215"/>
      <c r="X299" s="215"/>
      <c r="Y299" s="215"/>
      <c r="Z299" s="215"/>
      <c r="AA299" s="215"/>
      <c r="AB299" s="215"/>
      <c r="AC299" s="215"/>
      <c r="AD299" s="215"/>
      <c r="AE299" s="215"/>
      <c r="AF299" s="215"/>
      <c r="AG299" s="215"/>
      <c r="AH299" s="215"/>
    </row>
    <row r="300" spans="15:34" ht="12"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5"/>
      <c r="AB300" s="215"/>
      <c r="AC300" s="215"/>
      <c r="AD300" s="215"/>
      <c r="AE300" s="215"/>
      <c r="AF300" s="215"/>
      <c r="AG300" s="215"/>
      <c r="AH300" s="215"/>
    </row>
    <row r="301" spans="15:34" ht="12">
      <c r="O301" s="215"/>
      <c r="P301" s="215"/>
      <c r="Q301" s="215"/>
      <c r="R301" s="215"/>
      <c r="S301" s="215"/>
      <c r="T301" s="215"/>
      <c r="U301" s="215"/>
      <c r="V301" s="215"/>
      <c r="W301" s="215"/>
      <c r="X301" s="215"/>
      <c r="Y301" s="215"/>
      <c r="Z301" s="215"/>
      <c r="AA301" s="215"/>
      <c r="AB301" s="215"/>
      <c r="AC301" s="215"/>
      <c r="AD301" s="215"/>
      <c r="AE301" s="215"/>
      <c r="AF301" s="215"/>
      <c r="AG301" s="215"/>
      <c r="AH301" s="215"/>
    </row>
    <row r="302" spans="15:34" ht="12">
      <c r="O302" s="215"/>
      <c r="P302" s="215"/>
      <c r="Q302" s="215"/>
      <c r="R302" s="215"/>
      <c r="S302" s="215"/>
      <c r="T302" s="215"/>
      <c r="U302" s="215"/>
      <c r="V302" s="215"/>
      <c r="W302" s="215"/>
      <c r="X302" s="215"/>
      <c r="Y302" s="215"/>
      <c r="Z302" s="215"/>
      <c r="AA302" s="215"/>
      <c r="AB302" s="215"/>
      <c r="AC302" s="215"/>
      <c r="AD302" s="215"/>
      <c r="AE302" s="215"/>
      <c r="AF302" s="215"/>
      <c r="AG302" s="215"/>
      <c r="AH302" s="215"/>
    </row>
    <row r="303" spans="15:34" ht="12">
      <c r="O303" s="215"/>
      <c r="P303" s="215"/>
      <c r="Q303" s="215"/>
      <c r="R303" s="215"/>
      <c r="S303" s="215"/>
      <c r="T303" s="215"/>
      <c r="U303" s="215"/>
      <c r="V303" s="215"/>
      <c r="W303" s="215"/>
      <c r="X303" s="215"/>
      <c r="Y303" s="215"/>
      <c r="Z303" s="215"/>
      <c r="AA303" s="215"/>
      <c r="AB303" s="215"/>
      <c r="AC303" s="215"/>
      <c r="AD303" s="215"/>
      <c r="AE303" s="215"/>
      <c r="AF303" s="215"/>
      <c r="AG303" s="215"/>
      <c r="AH303" s="215"/>
    </row>
    <row r="304" spans="15:34" ht="12">
      <c r="O304" s="215"/>
      <c r="P304" s="215"/>
      <c r="Q304" s="215"/>
      <c r="R304" s="215"/>
      <c r="S304" s="215"/>
      <c r="T304" s="215"/>
      <c r="U304" s="215"/>
      <c r="V304" s="215"/>
      <c r="W304" s="215"/>
      <c r="X304" s="215"/>
      <c r="Y304" s="215"/>
      <c r="Z304" s="215"/>
      <c r="AA304" s="215"/>
      <c r="AB304" s="215"/>
      <c r="AC304" s="215"/>
      <c r="AD304" s="215"/>
      <c r="AE304" s="215"/>
      <c r="AF304" s="215"/>
      <c r="AG304" s="215"/>
      <c r="AH304" s="215"/>
    </row>
    <row r="305" spans="15:34" ht="12">
      <c r="O305" s="215"/>
      <c r="P305" s="215"/>
      <c r="Q305" s="215"/>
      <c r="R305" s="215"/>
      <c r="S305" s="215"/>
      <c r="T305" s="215"/>
      <c r="U305" s="215"/>
      <c r="V305" s="215"/>
      <c r="W305" s="215"/>
      <c r="X305" s="215"/>
      <c r="Y305" s="215"/>
      <c r="Z305" s="215"/>
      <c r="AA305" s="215"/>
      <c r="AB305" s="215"/>
      <c r="AC305" s="215"/>
      <c r="AD305" s="215"/>
      <c r="AE305" s="215"/>
      <c r="AF305" s="215"/>
      <c r="AG305" s="215"/>
      <c r="AH305" s="215"/>
    </row>
    <row r="306" spans="15:34" ht="12">
      <c r="O306" s="215"/>
      <c r="P306" s="215"/>
      <c r="Q306" s="215"/>
      <c r="R306" s="215"/>
      <c r="S306" s="215"/>
      <c r="T306" s="215"/>
      <c r="U306" s="215"/>
      <c r="V306" s="215"/>
      <c r="W306" s="215"/>
      <c r="X306" s="215"/>
      <c r="Y306" s="215"/>
      <c r="Z306" s="215"/>
      <c r="AA306" s="215"/>
      <c r="AB306" s="215"/>
      <c r="AC306" s="215"/>
      <c r="AD306" s="215"/>
      <c r="AE306" s="215"/>
      <c r="AF306" s="215"/>
      <c r="AG306" s="215"/>
      <c r="AH306" s="215"/>
    </row>
    <row r="307" spans="15:34" ht="12">
      <c r="O307" s="215"/>
      <c r="P307" s="215"/>
      <c r="Q307" s="215"/>
      <c r="R307" s="215"/>
      <c r="S307" s="215"/>
      <c r="T307" s="215"/>
      <c r="U307" s="215"/>
      <c r="V307" s="215"/>
      <c r="W307" s="215"/>
      <c r="X307" s="215"/>
      <c r="Y307" s="215"/>
      <c r="Z307" s="215"/>
      <c r="AA307" s="215"/>
      <c r="AB307" s="215"/>
      <c r="AC307" s="215"/>
      <c r="AD307" s="215"/>
      <c r="AE307" s="215"/>
      <c r="AF307" s="215"/>
      <c r="AG307" s="215"/>
      <c r="AH307" s="215"/>
    </row>
    <row r="308" spans="15:34" ht="12"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5"/>
      <c r="Z308" s="215"/>
      <c r="AA308" s="215"/>
      <c r="AB308" s="215"/>
      <c r="AC308" s="215"/>
      <c r="AD308" s="215"/>
      <c r="AE308" s="215"/>
      <c r="AF308" s="215"/>
      <c r="AG308" s="215"/>
      <c r="AH308" s="215"/>
    </row>
    <row r="309" spans="15:34" ht="12"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15"/>
      <c r="Z309" s="215"/>
      <c r="AA309" s="215"/>
      <c r="AB309" s="215"/>
      <c r="AC309" s="215"/>
      <c r="AD309" s="215"/>
      <c r="AE309" s="215"/>
      <c r="AF309" s="215"/>
      <c r="AG309" s="215"/>
      <c r="AH309" s="215"/>
    </row>
    <row r="310" spans="15:34" ht="12">
      <c r="O310" s="215"/>
      <c r="P310" s="215"/>
      <c r="Q310" s="215"/>
      <c r="R310" s="215"/>
      <c r="S310" s="215"/>
      <c r="T310" s="215"/>
      <c r="U310" s="215"/>
      <c r="V310" s="215"/>
      <c r="W310" s="215"/>
      <c r="X310" s="215"/>
      <c r="Y310" s="215"/>
      <c r="Z310" s="215"/>
      <c r="AA310" s="215"/>
      <c r="AB310" s="215"/>
      <c r="AC310" s="215"/>
      <c r="AD310" s="215"/>
      <c r="AE310" s="215"/>
      <c r="AF310" s="215"/>
      <c r="AG310" s="215"/>
      <c r="AH310" s="215"/>
    </row>
    <row r="311" spans="15:34" ht="12">
      <c r="O311" s="215"/>
      <c r="P311" s="215"/>
      <c r="Q311" s="215"/>
      <c r="R311" s="215"/>
      <c r="S311" s="215"/>
      <c r="T311" s="215"/>
      <c r="U311" s="215"/>
      <c r="V311" s="215"/>
      <c r="W311" s="215"/>
      <c r="X311" s="215"/>
      <c r="Y311" s="215"/>
      <c r="Z311" s="215"/>
      <c r="AA311" s="215"/>
      <c r="AB311" s="215"/>
      <c r="AC311" s="215"/>
      <c r="AD311" s="215"/>
      <c r="AE311" s="215"/>
      <c r="AF311" s="215"/>
      <c r="AG311" s="215"/>
      <c r="AH311" s="215"/>
    </row>
    <row r="312" spans="15:34" ht="12"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15"/>
      <c r="Z312" s="215"/>
      <c r="AA312" s="215"/>
      <c r="AB312" s="215"/>
      <c r="AC312" s="215"/>
      <c r="AD312" s="215"/>
      <c r="AE312" s="215"/>
      <c r="AF312" s="215"/>
      <c r="AG312" s="215"/>
      <c r="AH312" s="215"/>
    </row>
    <row r="313" spans="15:34" ht="12"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15"/>
      <c r="Z313" s="215"/>
      <c r="AA313" s="215"/>
      <c r="AB313" s="215"/>
      <c r="AC313" s="215"/>
      <c r="AD313" s="215"/>
      <c r="AE313" s="215"/>
      <c r="AF313" s="215"/>
      <c r="AG313" s="215"/>
      <c r="AH313" s="215"/>
    </row>
    <row r="314" spans="15:34" ht="12">
      <c r="O314" s="215"/>
      <c r="P314" s="215"/>
      <c r="Q314" s="215"/>
      <c r="R314" s="215"/>
      <c r="S314" s="215"/>
      <c r="T314" s="215"/>
      <c r="U314" s="215"/>
      <c r="V314" s="215"/>
      <c r="W314" s="215"/>
      <c r="X314" s="215"/>
      <c r="Y314" s="215"/>
      <c r="Z314" s="215"/>
      <c r="AA314" s="215"/>
      <c r="AB314" s="215"/>
      <c r="AC314" s="215"/>
      <c r="AD314" s="215"/>
      <c r="AE314" s="215"/>
      <c r="AF314" s="215"/>
      <c r="AG314" s="215"/>
      <c r="AH314" s="215"/>
    </row>
    <row r="315" spans="15:34" ht="12">
      <c r="O315" s="215"/>
      <c r="P315" s="215"/>
      <c r="Q315" s="215"/>
      <c r="R315" s="215"/>
      <c r="S315" s="215"/>
      <c r="T315" s="215"/>
      <c r="U315" s="215"/>
      <c r="V315" s="215"/>
      <c r="W315" s="215"/>
      <c r="X315" s="215"/>
      <c r="Y315" s="215"/>
      <c r="Z315" s="215"/>
      <c r="AA315" s="215"/>
      <c r="AB315" s="215"/>
      <c r="AC315" s="215"/>
      <c r="AD315" s="215"/>
      <c r="AE315" s="215"/>
      <c r="AF315" s="215"/>
      <c r="AG315" s="215"/>
      <c r="AH315" s="215"/>
    </row>
    <row r="316" spans="15:34" ht="12"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15"/>
      <c r="Z316" s="215"/>
      <c r="AA316" s="215"/>
      <c r="AB316" s="215"/>
      <c r="AC316" s="215"/>
      <c r="AD316" s="215"/>
      <c r="AE316" s="215"/>
      <c r="AF316" s="215"/>
      <c r="AG316" s="215"/>
      <c r="AH316" s="215"/>
    </row>
    <row r="317" spans="15:34" ht="12"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15"/>
      <c r="Z317" s="215"/>
      <c r="AA317" s="215"/>
      <c r="AB317" s="215"/>
      <c r="AC317" s="215"/>
      <c r="AD317" s="215"/>
      <c r="AE317" s="215"/>
      <c r="AF317" s="215"/>
      <c r="AG317" s="215"/>
      <c r="AH317" s="215"/>
    </row>
    <row r="318" spans="15:34" ht="12"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15"/>
      <c r="Z318" s="215"/>
      <c r="AA318" s="215"/>
      <c r="AB318" s="215"/>
      <c r="AC318" s="215"/>
      <c r="AD318" s="215"/>
      <c r="AE318" s="215"/>
      <c r="AF318" s="215"/>
      <c r="AG318" s="215"/>
      <c r="AH318" s="215"/>
    </row>
    <row r="319" spans="15:34" ht="12"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15"/>
      <c r="Z319" s="215"/>
      <c r="AA319" s="215"/>
      <c r="AB319" s="215"/>
      <c r="AC319" s="215"/>
      <c r="AD319" s="215"/>
      <c r="AE319" s="215"/>
      <c r="AF319" s="215"/>
      <c r="AG319" s="215"/>
      <c r="AH319" s="215"/>
    </row>
    <row r="320" spans="15:34" ht="12">
      <c r="O320" s="215"/>
      <c r="P320" s="215"/>
      <c r="Q320" s="215"/>
      <c r="R320" s="215"/>
      <c r="S320" s="215"/>
      <c r="T320" s="215"/>
      <c r="U320" s="215"/>
      <c r="V320" s="215"/>
      <c r="W320" s="215"/>
      <c r="X320" s="215"/>
      <c r="Y320" s="215"/>
      <c r="Z320" s="215"/>
      <c r="AA320" s="215"/>
      <c r="AB320" s="215"/>
      <c r="AC320" s="215"/>
      <c r="AD320" s="215"/>
      <c r="AE320" s="215"/>
      <c r="AF320" s="215"/>
      <c r="AG320" s="215"/>
      <c r="AH320" s="215"/>
    </row>
    <row r="321" spans="15:34" ht="12">
      <c r="O321" s="215"/>
      <c r="P321" s="215"/>
      <c r="Q321" s="215"/>
      <c r="R321" s="215"/>
      <c r="S321" s="215"/>
      <c r="T321" s="215"/>
      <c r="U321" s="215"/>
      <c r="V321" s="215"/>
      <c r="W321" s="215"/>
      <c r="X321" s="215"/>
      <c r="Y321" s="215"/>
      <c r="Z321" s="215"/>
      <c r="AA321" s="215"/>
      <c r="AB321" s="215"/>
      <c r="AC321" s="215"/>
      <c r="AD321" s="215"/>
      <c r="AE321" s="215"/>
      <c r="AF321" s="215"/>
      <c r="AG321" s="215"/>
      <c r="AH321" s="215"/>
    </row>
    <row r="322" spans="15:34" ht="12">
      <c r="O322" s="215"/>
      <c r="P322" s="215"/>
      <c r="Q322" s="215"/>
      <c r="R322" s="215"/>
      <c r="S322" s="215"/>
      <c r="T322" s="215"/>
      <c r="U322" s="215"/>
      <c r="V322" s="215"/>
      <c r="W322" s="215"/>
      <c r="X322" s="215"/>
      <c r="Y322" s="215"/>
      <c r="Z322" s="215"/>
      <c r="AA322" s="215"/>
      <c r="AB322" s="215"/>
      <c r="AC322" s="215"/>
      <c r="AD322" s="215"/>
      <c r="AE322" s="215"/>
      <c r="AF322" s="215"/>
      <c r="AG322" s="215"/>
      <c r="AH322" s="215"/>
    </row>
    <row r="323" spans="15:34" ht="12"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215"/>
      <c r="AA323" s="215"/>
      <c r="AB323" s="215"/>
      <c r="AC323" s="215"/>
      <c r="AD323" s="215"/>
      <c r="AE323" s="215"/>
      <c r="AF323" s="215"/>
      <c r="AG323" s="215"/>
      <c r="AH323" s="215"/>
    </row>
    <row r="324" spans="15:34" ht="12"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15"/>
      <c r="Z324" s="215"/>
      <c r="AA324" s="215"/>
      <c r="AB324" s="215"/>
      <c r="AC324" s="215"/>
      <c r="AD324" s="215"/>
      <c r="AE324" s="215"/>
      <c r="AF324" s="215"/>
      <c r="AG324" s="215"/>
      <c r="AH324" s="215"/>
    </row>
    <row r="325" spans="15:34" ht="12"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15"/>
      <c r="Z325" s="215"/>
      <c r="AA325" s="215"/>
      <c r="AB325" s="215"/>
      <c r="AC325" s="215"/>
      <c r="AD325" s="215"/>
      <c r="AE325" s="215"/>
      <c r="AF325" s="215"/>
      <c r="AG325" s="215"/>
      <c r="AH325" s="215"/>
    </row>
    <row r="326" spans="15:34" ht="12">
      <c r="O326" s="215"/>
      <c r="P326" s="215"/>
      <c r="Q326" s="215"/>
      <c r="R326" s="215"/>
      <c r="S326" s="215"/>
      <c r="T326" s="215"/>
      <c r="U326" s="215"/>
      <c r="V326" s="215"/>
      <c r="W326" s="215"/>
      <c r="X326" s="215"/>
      <c r="Y326" s="215"/>
      <c r="Z326" s="215"/>
      <c r="AA326" s="215"/>
      <c r="AB326" s="215"/>
      <c r="AC326" s="215"/>
      <c r="AD326" s="215"/>
      <c r="AE326" s="215"/>
      <c r="AF326" s="215"/>
      <c r="AG326" s="215"/>
      <c r="AH326" s="215"/>
    </row>
    <row r="327" spans="15:34" ht="12">
      <c r="O327" s="215"/>
      <c r="P327" s="215"/>
      <c r="Q327" s="215"/>
      <c r="R327" s="215"/>
      <c r="S327" s="215"/>
      <c r="T327" s="215"/>
      <c r="U327" s="215"/>
      <c r="V327" s="215"/>
      <c r="W327" s="215"/>
      <c r="X327" s="215"/>
      <c r="Y327" s="215"/>
      <c r="Z327" s="215"/>
      <c r="AA327" s="215"/>
      <c r="AB327" s="215"/>
      <c r="AC327" s="215"/>
      <c r="AD327" s="215"/>
      <c r="AE327" s="215"/>
      <c r="AF327" s="215"/>
      <c r="AG327" s="215"/>
      <c r="AH327" s="215"/>
    </row>
    <row r="328" spans="15:34" ht="12"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15"/>
      <c r="Z328" s="215"/>
      <c r="AA328" s="215"/>
      <c r="AB328" s="215"/>
      <c r="AC328" s="215"/>
      <c r="AD328" s="215"/>
      <c r="AE328" s="215"/>
      <c r="AF328" s="215"/>
      <c r="AG328" s="215"/>
      <c r="AH328" s="215"/>
    </row>
    <row r="329" spans="15:34" ht="12">
      <c r="O329" s="215"/>
      <c r="P329" s="215"/>
      <c r="Q329" s="215"/>
      <c r="R329" s="215"/>
      <c r="S329" s="215"/>
      <c r="T329" s="215"/>
      <c r="U329" s="215"/>
      <c r="V329" s="215"/>
      <c r="W329" s="215"/>
      <c r="X329" s="215"/>
      <c r="Y329" s="215"/>
      <c r="Z329" s="215"/>
      <c r="AA329" s="215"/>
      <c r="AB329" s="215"/>
      <c r="AC329" s="215"/>
      <c r="AD329" s="215"/>
      <c r="AE329" s="215"/>
      <c r="AF329" s="215"/>
      <c r="AG329" s="215"/>
      <c r="AH329" s="215"/>
    </row>
    <row r="330" spans="15:34" ht="12"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  <c r="AD330" s="215"/>
      <c r="AE330" s="215"/>
      <c r="AF330" s="215"/>
      <c r="AG330" s="215"/>
      <c r="AH330" s="215"/>
    </row>
    <row r="331" spans="15:34" ht="12"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  <c r="AD331" s="215"/>
      <c r="AE331" s="215"/>
      <c r="AF331" s="215"/>
      <c r="AG331" s="215"/>
      <c r="AH331" s="215"/>
    </row>
    <row r="332" spans="15:34" ht="12">
      <c r="O332" s="215"/>
      <c r="P332" s="215"/>
      <c r="Q332" s="215"/>
      <c r="R332" s="215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  <c r="AG332" s="215"/>
      <c r="AH332" s="215"/>
    </row>
    <row r="333" spans="15:34" ht="12">
      <c r="O333" s="215"/>
      <c r="P333" s="215"/>
      <c r="Q333" s="215"/>
      <c r="R333" s="215"/>
      <c r="S333" s="215"/>
      <c r="T333" s="215"/>
      <c r="U333" s="215"/>
      <c r="V333" s="215"/>
      <c r="W333" s="215"/>
      <c r="X333" s="215"/>
      <c r="Y333" s="215"/>
      <c r="Z333" s="215"/>
      <c r="AA333" s="215"/>
      <c r="AB333" s="215"/>
      <c r="AC333" s="215"/>
      <c r="AD333" s="215"/>
      <c r="AE333" s="215"/>
      <c r="AF333" s="215"/>
      <c r="AG333" s="215"/>
      <c r="AH333" s="215"/>
    </row>
    <row r="334" spans="15:34" ht="12"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15"/>
      <c r="Z334" s="215"/>
      <c r="AA334" s="215"/>
      <c r="AB334" s="215"/>
      <c r="AC334" s="215"/>
      <c r="AD334" s="215"/>
      <c r="AE334" s="215"/>
      <c r="AF334" s="215"/>
      <c r="AG334" s="215"/>
      <c r="AH334" s="215"/>
    </row>
    <row r="335" spans="15:34" ht="12">
      <c r="O335" s="215"/>
      <c r="P335" s="215"/>
      <c r="Q335" s="215"/>
      <c r="R335" s="215"/>
      <c r="S335" s="215"/>
      <c r="T335" s="215"/>
      <c r="U335" s="215"/>
      <c r="V335" s="215"/>
      <c r="W335" s="215"/>
      <c r="X335" s="215"/>
      <c r="Y335" s="215"/>
      <c r="Z335" s="215"/>
      <c r="AA335" s="215"/>
      <c r="AB335" s="215"/>
      <c r="AC335" s="215"/>
      <c r="AD335" s="215"/>
      <c r="AE335" s="215"/>
      <c r="AF335" s="215"/>
      <c r="AG335" s="215"/>
      <c r="AH335" s="215"/>
    </row>
    <row r="336" spans="15:34" ht="12">
      <c r="O336" s="215"/>
      <c r="P336" s="215"/>
      <c r="Q336" s="215"/>
      <c r="R336" s="215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15"/>
      <c r="AC336" s="215"/>
      <c r="AD336" s="215"/>
      <c r="AE336" s="215"/>
      <c r="AF336" s="215"/>
      <c r="AG336" s="215"/>
      <c r="AH336" s="215"/>
    </row>
    <row r="337" spans="15:34" ht="12">
      <c r="O337" s="215"/>
      <c r="P337" s="215"/>
      <c r="Q337" s="215"/>
      <c r="R337" s="215"/>
      <c r="S337" s="215"/>
      <c r="T337" s="215"/>
      <c r="U337" s="215"/>
      <c r="V337" s="215"/>
      <c r="W337" s="215"/>
      <c r="X337" s="215"/>
      <c r="Y337" s="215"/>
      <c r="Z337" s="215"/>
      <c r="AA337" s="215"/>
      <c r="AB337" s="215"/>
      <c r="AC337" s="215"/>
      <c r="AD337" s="215"/>
      <c r="AE337" s="215"/>
      <c r="AF337" s="215"/>
      <c r="AG337" s="215"/>
      <c r="AH337" s="215"/>
    </row>
    <row r="338" spans="15:34" ht="12">
      <c r="O338" s="215"/>
      <c r="P338" s="215"/>
      <c r="Q338" s="215"/>
      <c r="R338" s="215"/>
      <c r="S338" s="215"/>
      <c r="T338" s="215"/>
      <c r="U338" s="215"/>
      <c r="V338" s="215"/>
      <c r="W338" s="215"/>
      <c r="X338" s="215"/>
      <c r="Y338" s="215"/>
      <c r="Z338" s="215"/>
      <c r="AA338" s="215"/>
      <c r="AB338" s="215"/>
      <c r="AC338" s="215"/>
      <c r="AD338" s="215"/>
      <c r="AE338" s="215"/>
      <c r="AF338" s="215"/>
      <c r="AG338" s="215"/>
      <c r="AH338" s="215"/>
    </row>
    <row r="339" spans="15:34" ht="12">
      <c r="O339" s="215"/>
      <c r="P339" s="215"/>
      <c r="Q339" s="215"/>
      <c r="R339" s="215"/>
      <c r="S339" s="215"/>
      <c r="T339" s="215"/>
      <c r="U339" s="215"/>
      <c r="V339" s="215"/>
      <c r="W339" s="215"/>
      <c r="X339" s="215"/>
      <c r="Y339" s="215"/>
      <c r="Z339" s="215"/>
      <c r="AA339" s="215"/>
      <c r="AB339" s="215"/>
      <c r="AC339" s="215"/>
      <c r="AD339" s="215"/>
      <c r="AE339" s="215"/>
      <c r="AF339" s="215"/>
      <c r="AG339" s="215"/>
      <c r="AH339" s="215"/>
    </row>
    <row r="340" spans="15:34" ht="12"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15"/>
      <c r="Z340" s="215"/>
      <c r="AA340" s="215"/>
      <c r="AB340" s="215"/>
      <c r="AC340" s="215"/>
      <c r="AD340" s="215"/>
      <c r="AE340" s="215"/>
      <c r="AF340" s="215"/>
      <c r="AG340" s="215"/>
      <c r="AH340" s="215"/>
    </row>
    <row r="341" spans="15:34" ht="12">
      <c r="O341" s="215"/>
      <c r="P341" s="215"/>
      <c r="Q341" s="215"/>
      <c r="R341" s="215"/>
      <c r="S341" s="215"/>
      <c r="T341" s="215"/>
      <c r="U341" s="215"/>
      <c r="V341" s="215"/>
      <c r="W341" s="215"/>
      <c r="X341" s="215"/>
      <c r="Y341" s="215"/>
      <c r="Z341" s="215"/>
      <c r="AA341" s="215"/>
      <c r="AB341" s="215"/>
      <c r="AC341" s="215"/>
      <c r="AD341" s="215"/>
      <c r="AE341" s="215"/>
      <c r="AF341" s="215"/>
      <c r="AG341" s="215"/>
      <c r="AH341" s="215"/>
    </row>
    <row r="342" spans="15:34" ht="12">
      <c r="O342" s="215"/>
      <c r="P342" s="215"/>
      <c r="Q342" s="215"/>
      <c r="R342" s="215"/>
      <c r="S342" s="215"/>
      <c r="T342" s="215"/>
      <c r="U342" s="215"/>
      <c r="V342" s="215"/>
      <c r="W342" s="215"/>
      <c r="X342" s="215"/>
      <c r="Y342" s="215"/>
      <c r="Z342" s="215"/>
      <c r="AA342" s="215"/>
      <c r="AB342" s="215"/>
      <c r="AC342" s="215"/>
      <c r="AD342" s="215"/>
      <c r="AE342" s="215"/>
      <c r="AF342" s="215"/>
      <c r="AG342" s="215"/>
      <c r="AH342" s="215"/>
    </row>
    <row r="343" spans="15:34" ht="12">
      <c r="O343" s="215"/>
      <c r="P343" s="215"/>
      <c r="Q343" s="215"/>
      <c r="R343" s="215"/>
      <c r="S343" s="215"/>
      <c r="T343" s="215"/>
      <c r="U343" s="215"/>
      <c r="V343" s="215"/>
      <c r="W343" s="215"/>
      <c r="X343" s="215"/>
      <c r="Y343" s="215"/>
      <c r="Z343" s="215"/>
      <c r="AA343" s="215"/>
      <c r="AB343" s="215"/>
      <c r="AC343" s="215"/>
      <c r="AD343" s="215"/>
      <c r="AE343" s="215"/>
      <c r="AF343" s="215"/>
      <c r="AG343" s="215"/>
      <c r="AH343" s="215"/>
    </row>
    <row r="344" spans="15:34" ht="12">
      <c r="O344" s="215"/>
      <c r="P344" s="215"/>
      <c r="Q344" s="215"/>
      <c r="R344" s="215"/>
      <c r="S344" s="215"/>
      <c r="T344" s="215"/>
      <c r="U344" s="215"/>
      <c r="V344" s="215"/>
      <c r="W344" s="215"/>
      <c r="X344" s="215"/>
      <c r="Y344" s="215"/>
      <c r="Z344" s="215"/>
      <c r="AA344" s="215"/>
      <c r="AB344" s="215"/>
      <c r="AC344" s="215"/>
      <c r="AD344" s="215"/>
      <c r="AE344" s="215"/>
      <c r="AF344" s="215"/>
      <c r="AG344" s="215"/>
      <c r="AH344" s="215"/>
    </row>
    <row r="345" spans="15:34" ht="12">
      <c r="O345" s="215"/>
      <c r="P345" s="215"/>
      <c r="Q345" s="215"/>
      <c r="R345" s="215"/>
      <c r="S345" s="215"/>
      <c r="T345" s="215"/>
      <c r="U345" s="215"/>
      <c r="V345" s="215"/>
      <c r="W345" s="215"/>
      <c r="X345" s="215"/>
      <c r="Y345" s="215"/>
      <c r="Z345" s="215"/>
      <c r="AA345" s="215"/>
      <c r="AB345" s="215"/>
      <c r="AC345" s="215"/>
      <c r="AD345" s="215"/>
      <c r="AE345" s="215"/>
      <c r="AF345" s="215"/>
      <c r="AG345" s="215"/>
      <c r="AH345" s="215"/>
    </row>
    <row r="346" spans="15:34" ht="12"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215"/>
      <c r="AC346" s="215"/>
      <c r="AD346" s="215"/>
      <c r="AE346" s="215"/>
      <c r="AF346" s="215"/>
      <c r="AG346" s="215"/>
      <c r="AH346" s="215"/>
    </row>
    <row r="347" spans="15:34" ht="12">
      <c r="O347" s="215"/>
      <c r="P347" s="215"/>
      <c r="Q347" s="215"/>
      <c r="R347" s="215"/>
      <c r="S347" s="215"/>
      <c r="T347" s="215"/>
      <c r="U347" s="215"/>
      <c r="V347" s="215"/>
      <c r="W347" s="215"/>
      <c r="X347" s="215"/>
      <c r="Y347" s="215"/>
      <c r="Z347" s="215"/>
      <c r="AA347" s="215"/>
      <c r="AB347" s="215"/>
      <c r="AC347" s="215"/>
      <c r="AD347" s="215"/>
      <c r="AE347" s="215"/>
      <c r="AF347" s="215"/>
      <c r="AG347" s="215"/>
      <c r="AH347" s="215"/>
    </row>
    <row r="348" spans="15:34" ht="12"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15"/>
      <c r="Z348" s="215"/>
      <c r="AA348" s="215"/>
      <c r="AB348" s="215"/>
      <c r="AC348" s="215"/>
      <c r="AD348" s="215"/>
      <c r="AE348" s="215"/>
      <c r="AF348" s="215"/>
      <c r="AG348" s="215"/>
      <c r="AH348" s="215"/>
    </row>
    <row r="349" spans="15:34" ht="12"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15"/>
      <c r="Z349" s="215"/>
      <c r="AA349" s="215"/>
      <c r="AB349" s="215"/>
      <c r="AC349" s="215"/>
      <c r="AD349" s="215"/>
      <c r="AE349" s="215"/>
      <c r="AF349" s="215"/>
      <c r="AG349" s="215"/>
      <c r="AH349" s="215"/>
    </row>
    <row r="350" spans="15:34" ht="12">
      <c r="O350" s="215"/>
      <c r="P350" s="215"/>
      <c r="Q350" s="215"/>
      <c r="R350" s="215"/>
      <c r="S350" s="215"/>
      <c r="T350" s="215"/>
      <c r="U350" s="215"/>
      <c r="V350" s="215"/>
      <c r="W350" s="215"/>
      <c r="X350" s="215"/>
      <c r="Y350" s="215"/>
      <c r="Z350" s="215"/>
      <c r="AA350" s="215"/>
      <c r="AB350" s="215"/>
      <c r="AC350" s="215"/>
      <c r="AD350" s="215"/>
      <c r="AE350" s="215"/>
      <c r="AF350" s="215"/>
      <c r="AG350" s="215"/>
      <c r="AH350" s="215"/>
    </row>
    <row r="351" spans="15:34" ht="12">
      <c r="O351" s="215"/>
      <c r="P351" s="215"/>
      <c r="Q351" s="215"/>
      <c r="R351" s="215"/>
      <c r="S351" s="215"/>
      <c r="T351" s="215"/>
      <c r="U351" s="215"/>
      <c r="V351" s="215"/>
      <c r="W351" s="215"/>
      <c r="X351" s="215"/>
      <c r="Y351" s="215"/>
      <c r="Z351" s="215"/>
      <c r="AA351" s="215"/>
      <c r="AB351" s="215"/>
      <c r="AC351" s="215"/>
      <c r="AD351" s="215"/>
      <c r="AE351" s="215"/>
      <c r="AF351" s="215"/>
      <c r="AG351" s="215"/>
      <c r="AH351" s="215"/>
    </row>
    <row r="352" spans="15:34" ht="12"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15"/>
      <c r="Z352" s="215"/>
      <c r="AA352" s="215"/>
      <c r="AB352" s="215"/>
      <c r="AC352" s="215"/>
      <c r="AD352" s="215"/>
      <c r="AE352" s="215"/>
      <c r="AF352" s="215"/>
      <c r="AG352" s="215"/>
      <c r="AH352" s="215"/>
    </row>
    <row r="353" spans="15:34" ht="12"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15"/>
      <c r="Z353" s="215"/>
      <c r="AA353" s="215"/>
      <c r="AB353" s="215"/>
      <c r="AC353" s="215"/>
      <c r="AD353" s="215"/>
      <c r="AE353" s="215"/>
      <c r="AF353" s="215"/>
      <c r="AG353" s="215"/>
      <c r="AH353" s="215"/>
    </row>
    <row r="354" spans="15:34" ht="12">
      <c r="O354" s="215"/>
      <c r="P354" s="215"/>
      <c r="Q354" s="215"/>
      <c r="R354" s="215"/>
      <c r="S354" s="215"/>
      <c r="T354" s="215"/>
      <c r="U354" s="215"/>
      <c r="V354" s="215"/>
      <c r="W354" s="215"/>
      <c r="X354" s="215"/>
      <c r="Y354" s="215"/>
      <c r="Z354" s="215"/>
      <c r="AA354" s="215"/>
      <c r="AB354" s="215"/>
      <c r="AC354" s="215"/>
      <c r="AD354" s="215"/>
      <c r="AE354" s="215"/>
      <c r="AF354" s="215"/>
      <c r="AG354" s="215"/>
      <c r="AH354" s="215"/>
    </row>
    <row r="355" spans="15:34" ht="12">
      <c r="O355" s="215"/>
      <c r="P355" s="215"/>
      <c r="Q355" s="215"/>
      <c r="R355" s="215"/>
      <c r="S355" s="215"/>
      <c r="T355" s="215"/>
      <c r="U355" s="215"/>
      <c r="V355" s="215"/>
      <c r="W355" s="215"/>
      <c r="X355" s="215"/>
      <c r="Y355" s="215"/>
      <c r="Z355" s="215"/>
      <c r="AA355" s="215"/>
      <c r="AB355" s="215"/>
      <c r="AC355" s="215"/>
      <c r="AD355" s="215"/>
      <c r="AE355" s="215"/>
      <c r="AF355" s="215"/>
      <c r="AG355" s="215"/>
      <c r="AH355" s="215"/>
    </row>
    <row r="356" spans="15:34" ht="12"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  <c r="AC356" s="215"/>
      <c r="AD356" s="215"/>
      <c r="AE356" s="215"/>
      <c r="AF356" s="215"/>
      <c r="AG356" s="215"/>
      <c r="AH356" s="215"/>
    </row>
    <row r="357" spans="15:34" ht="12"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5"/>
      <c r="AD357" s="215"/>
      <c r="AE357" s="215"/>
      <c r="AF357" s="215"/>
      <c r="AG357" s="215"/>
      <c r="AH357" s="215"/>
    </row>
    <row r="358" spans="15:34" ht="12"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15"/>
      <c r="Z358" s="215"/>
      <c r="AA358" s="215"/>
      <c r="AB358" s="215"/>
      <c r="AC358" s="215"/>
      <c r="AD358" s="215"/>
      <c r="AE358" s="215"/>
      <c r="AF358" s="215"/>
      <c r="AG358" s="215"/>
      <c r="AH358" s="215"/>
    </row>
    <row r="359" spans="15:34" ht="12"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  <c r="AD359" s="215"/>
      <c r="AE359" s="215"/>
      <c r="AF359" s="215"/>
      <c r="AG359" s="215"/>
      <c r="AH359" s="215"/>
    </row>
    <row r="360" spans="15:34" ht="12">
      <c r="O360" s="215"/>
      <c r="P360" s="215"/>
      <c r="Q360" s="215"/>
      <c r="R360" s="215"/>
      <c r="S360" s="215"/>
      <c r="T360" s="215"/>
      <c r="U360" s="215"/>
      <c r="V360" s="215"/>
      <c r="W360" s="215"/>
      <c r="X360" s="215"/>
      <c r="Y360" s="215"/>
      <c r="Z360" s="215"/>
      <c r="AA360" s="215"/>
      <c r="AB360" s="215"/>
      <c r="AC360" s="215"/>
      <c r="AD360" s="215"/>
      <c r="AE360" s="215"/>
      <c r="AF360" s="215"/>
      <c r="AG360" s="215"/>
      <c r="AH360" s="215"/>
    </row>
    <row r="361" spans="15:34" ht="12">
      <c r="O361" s="215"/>
      <c r="P361" s="215"/>
      <c r="Q361" s="215"/>
      <c r="R361" s="215"/>
      <c r="S361" s="215"/>
      <c r="T361" s="215"/>
      <c r="U361" s="215"/>
      <c r="V361" s="215"/>
      <c r="W361" s="215"/>
      <c r="X361" s="215"/>
      <c r="Y361" s="215"/>
      <c r="Z361" s="215"/>
      <c r="AA361" s="215"/>
      <c r="AB361" s="215"/>
      <c r="AC361" s="215"/>
      <c r="AD361" s="215"/>
      <c r="AE361" s="215"/>
      <c r="AF361" s="215"/>
      <c r="AG361" s="215"/>
      <c r="AH361" s="215"/>
    </row>
    <row r="362" spans="15:34" ht="12"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15"/>
      <c r="Z362" s="215"/>
      <c r="AA362" s="215"/>
      <c r="AB362" s="215"/>
      <c r="AC362" s="215"/>
      <c r="AD362" s="215"/>
      <c r="AE362" s="215"/>
      <c r="AF362" s="215"/>
      <c r="AG362" s="215"/>
      <c r="AH362" s="215"/>
    </row>
    <row r="363" spans="15:34" ht="12">
      <c r="O363" s="215"/>
      <c r="P363" s="215"/>
      <c r="Q363" s="215"/>
      <c r="R363" s="215"/>
      <c r="S363" s="215"/>
      <c r="T363" s="215"/>
      <c r="U363" s="215"/>
      <c r="V363" s="215"/>
      <c r="W363" s="215"/>
      <c r="X363" s="215"/>
      <c r="Y363" s="215"/>
      <c r="Z363" s="215"/>
      <c r="AA363" s="215"/>
      <c r="AB363" s="215"/>
      <c r="AC363" s="215"/>
      <c r="AD363" s="215"/>
      <c r="AE363" s="215"/>
      <c r="AF363" s="215"/>
      <c r="AG363" s="215"/>
      <c r="AH363" s="215"/>
    </row>
    <row r="364" spans="15:34" ht="12">
      <c r="O364" s="215"/>
      <c r="P364" s="215"/>
      <c r="Q364" s="215"/>
      <c r="R364" s="215"/>
      <c r="S364" s="215"/>
      <c r="T364" s="215"/>
      <c r="U364" s="215"/>
      <c r="V364" s="215"/>
      <c r="W364" s="215"/>
      <c r="X364" s="215"/>
      <c r="Y364" s="215"/>
      <c r="Z364" s="215"/>
      <c r="AA364" s="215"/>
      <c r="AB364" s="215"/>
      <c r="AC364" s="215"/>
      <c r="AD364" s="215"/>
      <c r="AE364" s="215"/>
      <c r="AF364" s="215"/>
      <c r="AG364" s="215"/>
      <c r="AH364" s="215"/>
    </row>
    <row r="365" spans="15:34" ht="12">
      <c r="O365" s="215"/>
      <c r="P365" s="215"/>
      <c r="Q365" s="215"/>
      <c r="R365" s="215"/>
      <c r="S365" s="215"/>
      <c r="T365" s="215"/>
      <c r="U365" s="215"/>
      <c r="V365" s="215"/>
      <c r="W365" s="215"/>
      <c r="X365" s="215"/>
      <c r="Y365" s="215"/>
      <c r="Z365" s="215"/>
      <c r="AA365" s="215"/>
      <c r="AB365" s="215"/>
      <c r="AC365" s="215"/>
      <c r="AD365" s="215"/>
      <c r="AE365" s="215"/>
      <c r="AF365" s="215"/>
      <c r="AG365" s="215"/>
      <c r="AH365" s="215"/>
    </row>
    <row r="366" spans="15:34" ht="12">
      <c r="O366" s="215"/>
      <c r="P366" s="215"/>
      <c r="Q366" s="215"/>
      <c r="R366" s="215"/>
      <c r="S366" s="215"/>
      <c r="T366" s="215"/>
      <c r="U366" s="215"/>
      <c r="V366" s="215"/>
      <c r="W366" s="215"/>
      <c r="X366" s="215"/>
      <c r="Y366" s="215"/>
      <c r="Z366" s="215"/>
      <c r="AA366" s="215"/>
      <c r="AB366" s="215"/>
      <c r="AC366" s="215"/>
      <c r="AD366" s="215"/>
      <c r="AE366" s="215"/>
      <c r="AF366" s="215"/>
      <c r="AG366" s="215"/>
      <c r="AH366" s="215"/>
    </row>
    <row r="367" spans="15:34" ht="12">
      <c r="O367" s="215"/>
      <c r="P367" s="215"/>
      <c r="Q367" s="215"/>
      <c r="R367" s="215"/>
      <c r="S367" s="215"/>
      <c r="T367" s="215"/>
      <c r="U367" s="215"/>
      <c r="V367" s="215"/>
      <c r="W367" s="215"/>
      <c r="X367" s="215"/>
      <c r="Y367" s="215"/>
      <c r="Z367" s="215"/>
      <c r="AA367" s="215"/>
      <c r="AB367" s="215"/>
      <c r="AC367" s="215"/>
      <c r="AD367" s="215"/>
      <c r="AE367" s="215"/>
      <c r="AF367" s="215"/>
      <c r="AG367" s="215"/>
      <c r="AH367" s="215"/>
    </row>
    <row r="368" spans="15:34" ht="12">
      <c r="O368" s="215"/>
      <c r="P368" s="215"/>
      <c r="Q368" s="215"/>
      <c r="R368" s="215"/>
      <c r="S368" s="215"/>
      <c r="T368" s="215"/>
      <c r="U368" s="215"/>
      <c r="V368" s="215"/>
      <c r="W368" s="215"/>
      <c r="X368" s="215"/>
      <c r="Y368" s="215"/>
      <c r="Z368" s="215"/>
      <c r="AA368" s="215"/>
      <c r="AB368" s="215"/>
      <c r="AC368" s="215"/>
      <c r="AD368" s="215"/>
      <c r="AE368" s="215"/>
      <c r="AF368" s="215"/>
      <c r="AG368" s="215"/>
      <c r="AH368" s="215"/>
    </row>
    <row r="369" spans="15:34" ht="12">
      <c r="O369" s="215"/>
      <c r="P369" s="215"/>
      <c r="Q369" s="215"/>
      <c r="R369" s="215"/>
      <c r="S369" s="215"/>
      <c r="T369" s="215"/>
      <c r="U369" s="215"/>
      <c r="V369" s="215"/>
      <c r="W369" s="215"/>
      <c r="X369" s="215"/>
      <c r="Y369" s="215"/>
      <c r="Z369" s="215"/>
      <c r="AA369" s="215"/>
      <c r="AB369" s="215"/>
      <c r="AC369" s="215"/>
      <c r="AD369" s="215"/>
      <c r="AE369" s="215"/>
      <c r="AF369" s="215"/>
      <c r="AG369" s="215"/>
      <c r="AH369" s="215"/>
    </row>
    <row r="370" spans="15:34" ht="12">
      <c r="O370" s="215"/>
      <c r="P370" s="215"/>
      <c r="Q370" s="215"/>
      <c r="R370" s="215"/>
      <c r="S370" s="215"/>
      <c r="T370" s="215"/>
      <c r="U370" s="215"/>
      <c r="V370" s="215"/>
      <c r="W370" s="215"/>
      <c r="X370" s="215"/>
      <c r="Y370" s="215"/>
      <c r="Z370" s="215"/>
      <c r="AA370" s="215"/>
      <c r="AB370" s="215"/>
      <c r="AC370" s="215"/>
      <c r="AD370" s="215"/>
      <c r="AE370" s="215"/>
      <c r="AF370" s="215"/>
      <c r="AG370" s="215"/>
      <c r="AH370" s="215"/>
    </row>
    <row r="371" spans="15:34" ht="12">
      <c r="O371" s="215"/>
      <c r="P371" s="215"/>
      <c r="Q371" s="215"/>
      <c r="R371" s="215"/>
      <c r="S371" s="215"/>
      <c r="T371" s="215"/>
      <c r="U371" s="215"/>
      <c r="V371" s="215"/>
      <c r="W371" s="215"/>
      <c r="X371" s="215"/>
      <c r="Y371" s="215"/>
      <c r="Z371" s="215"/>
      <c r="AA371" s="215"/>
      <c r="AB371" s="215"/>
      <c r="AC371" s="215"/>
      <c r="AD371" s="215"/>
      <c r="AE371" s="215"/>
      <c r="AF371" s="215"/>
      <c r="AG371" s="215"/>
      <c r="AH371" s="215"/>
    </row>
    <row r="372" spans="15:34" ht="12">
      <c r="O372" s="215"/>
      <c r="P372" s="215"/>
      <c r="Q372" s="215"/>
      <c r="R372" s="215"/>
      <c r="S372" s="215"/>
      <c r="T372" s="215"/>
      <c r="U372" s="215"/>
      <c r="V372" s="215"/>
      <c r="W372" s="215"/>
      <c r="X372" s="215"/>
      <c r="Y372" s="215"/>
      <c r="Z372" s="215"/>
      <c r="AA372" s="215"/>
      <c r="AB372" s="215"/>
      <c r="AC372" s="215"/>
      <c r="AD372" s="215"/>
      <c r="AE372" s="215"/>
      <c r="AF372" s="215"/>
      <c r="AG372" s="215"/>
      <c r="AH372" s="215"/>
    </row>
    <row r="373" spans="15:34" ht="12">
      <c r="O373" s="215"/>
      <c r="P373" s="215"/>
      <c r="Q373" s="215"/>
      <c r="R373" s="215"/>
      <c r="S373" s="215"/>
      <c r="T373" s="215"/>
      <c r="U373" s="215"/>
      <c r="V373" s="215"/>
      <c r="W373" s="215"/>
      <c r="X373" s="215"/>
      <c r="Y373" s="215"/>
      <c r="Z373" s="215"/>
      <c r="AA373" s="215"/>
      <c r="AB373" s="215"/>
      <c r="AC373" s="215"/>
      <c r="AD373" s="215"/>
      <c r="AE373" s="215"/>
      <c r="AF373" s="215"/>
      <c r="AG373" s="215"/>
      <c r="AH373" s="215"/>
    </row>
    <row r="374" spans="15:34" ht="12">
      <c r="O374" s="215"/>
      <c r="P374" s="215"/>
      <c r="Q374" s="215"/>
      <c r="R374" s="215"/>
      <c r="S374" s="215"/>
      <c r="T374" s="215"/>
      <c r="U374" s="215"/>
      <c r="V374" s="215"/>
      <c r="W374" s="215"/>
      <c r="X374" s="215"/>
      <c r="Y374" s="215"/>
      <c r="Z374" s="215"/>
      <c r="AA374" s="215"/>
      <c r="AB374" s="215"/>
      <c r="AC374" s="215"/>
      <c r="AD374" s="215"/>
      <c r="AE374" s="215"/>
      <c r="AF374" s="215"/>
      <c r="AG374" s="215"/>
      <c r="AH374" s="215"/>
    </row>
    <row r="375" spans="15:34" ht="12">
      <c r="O375" s="215"/>
      <c r="P375" s="215"/>
      <c r="Q375" s="215"/>
      <c r="R375" s="215"/>
      <c r="S375" s="215"/>
      <c r="T375" s="215"/>
      <c r="U375" s="215"/>
      <c r="V375" s="215"/>
      <c r="W375" s="215"/>
      <c r="X375" s="215"/>
      <c r="Y375" s="215"/>
      <c r="Z375" s="215"/>
      <c r="AA375" s="215"/>
      <c r="AB375" s="215"/>
      <c r="AC375" s="215"/>
      <c r="AD375" s="215"/>
      <c r="AE375" s="215"/>
      <c r="AF375" s="215"/>
      <c r="AG375" s="215"/>
      <c r="AH375" s="215"/>
    </row>
    <row r="376" spans="15:34" ht="12">
      <c r="O376" s="215"/>
      <c r="P376" s="215"/>
      <c r="Q376" s="215"/>
      <c r="R376" s="215"/>
      <c r="S376" s="215"/>
      <c r="T376" s="215"/>
      <c r="U376" s="215"/>
      <c r="V376" s="215"/>
      <c r="W376" s="215"/>
      <c r="X376" s="215"/>
      <c r="Y376" s="215"/>
      <c r="Z376" s="215"/>
      <c r="AA376" s="215"/>
      <c r="AB376" s="215"/>
      <c r="AC376" s="215"/>
      <c r="AD376" s="215"/>
      <c r="AE376" s="215"/>
      <c r="AF376" s="215"/>
      <c r="AG376" s="215"/>
      <c r="AH376" s="215"/>
    </row>
    <row r="377" spans="15:34" ht="12">
      <c r="O377" s="215"/>
      <c r="P377" s="215"/>
      <c r="Q377" s="215"/>
      <c r="R377" s="215"/>
      <c r="S377" s="215"/>
      <c r="T377" s="215"/>
      <c r="U377" s="215"/>
      <c r="V377" s="215"/>
      <c r="W377" s="215"/>
      <c r="X377" s="215"/>
      <c r="Y377" s="215"/>
      <c r="Z377" s="215"/>
      <c r="AA377" s="215"/>
      <c r="AB377" s="215"/>
      <c r="AC377" s="215"/>
      <c r="AD377" s="215"/>
      <c r="AE377" s="215"/>
      <c r="AF377" s="215"/>
      <c r="AG377" s="215"/>
      <c r="AH377" s="215"/>
    </row>
    <row r="378" spans="15:34" ht="12">
      <c r="O378" s="215"/>
      <c r="P378" s="215"/>
      <c r="Q378" s="215"/>
      <c r="R378" s="215"/>
      <c r="S378" s="215"/>
      <c r="T378" s="215"/>
      <c r="U378" s="215"/>
      <c r="V378" s="215"/>
      <c r="W378" s="215"/>
      <c r="X378" s="215"/>
      <c r="Y378" s="215"/>
      <c r="Z378" s="215"/>
      <c r="AA378" s="215"/>
      <c r="AB378" s="215"/>
      <c r="AC378" s="215"/>
      <c r="AD378" s="215"/>
      <c r="AE378" s="215"/>
      <c r="AF378" s="215"/>
      <c r="AG378" s="215"/>
      <c r="AH378" s="215"/>
    </row>
    <row r="379" spans="15:34" ht="12">
      <c r="O379" s="215"/>
      <c r="P379" s="215"/>
      <c r="Q379" s="215"/>
      <c r="R379" s="215"/>
      <c r="S379" s="215"/>
      <c r="T379" s="215"/>
      <c r="U379" s="215"/>
      <c r="V379" s="215"/>
      <c r="W379" s="215"/>
      <c r="X379" s="215"/>
      <c r="Y379" s="215"/>
      <c r="Z379" s="215"/>
      <c r="AA379" s="215"/>
      <c r="AB379" s="215"/>
      <c r="AC379" s="215"/>
      <c r="AD379" s="215"/>
      <c r="AE379" s="215"/>
      <c r="AF379" s="215"/>
      <c r="AG379" s="215"/>
      <c r="AH379" s="215"/>
    </row>
    <row r="380" spans="15:34" ht="12">
      <c r="O380" s="215"/>
      <c r="P380" s="215"/>
      <c r="Q380" s="215"/>
      <c r="R380" s="215"/>
      <c r="S380" s="215"/>
      <c r="T380" s="215"/>
      <c r="U380" s="215"/>
      <c r="V380" s="215"/>
      <c r="W380" s="215"/>
      <c r="X380" s="215"/>
      <c r="Y380" s="215"/>
      <c r="Z380" s="215"/>
      <c r="AA380" s="215"/>
      <c r="AB380" s="215"/>
      <c r="AC380" s="215"/>
      <c r="AD380" s="215"/>
      <c r="AE380" s="215"/>
      <c r="AF380" s="215"/>
      <c r="AG380" s="215"/>
      <c r="AH380" s="215"/>
    </row>
    <row r="381" spans="15:34" ht="12">
      <c r="O381" s="215"/>
      <c r="P381" s="215"/>
      <c r="Q381" s="215"/>
      <c r="R381" s="215"/>
      <c r="S381" s="215"/>
      <c r="T381" s="215"/>
      <c r="U381" s="215"/>
      <c r="V381" s="215"/>
      <c r="W381" s="215"/>
      <c r="X381" s="215"/>
      <c r="Y381" s="215"/>
      <c r="Z381" s="215"/>
      <c r="AA381" s="215"/>
      <c r="AB381" s="215"/>
      <c r="AC381" s="215"/>
      <c r="AD381" s="215"/>
      <c r="AE381" s="215"/>
      <c r="AF381" s="215"/>
      <c r="AG381" s="215"/>
      <c r="AH381" s="215"/>
    </row>
    <row r="382" spans="15:34" ht="12">
      <c r="O382" s="215"/>
      <c r="P382" s="215"/>
      <c r="Q382" s="215"/>
      <c r="R382" s="215"/>
      <c r="S382" s="215"/>
      <c r="T382" s="215"/>
      <c r="U382" s="215"/>
      <c r="V382" s="215"/>
      <c r="W382" s="215"/>
      <c r="X382" s="215"/>
      <c r="Y382" s="215"/>
      <c r="Z382" s="215"/>
      <c r="AA382" s="215"/>
      <c r="AB382" s="215"/>
      <c r="AC382" s="215"/>
      <c r="AD382" s="215"/>
      <c r="AE382" s="215"/>
      <c r="AF382" s="215"/>
      <c r="AG382" s="215"/>
      <c r="AH382" s="215"/>
    </row>
    <row r="383" spans="15:34" ht="12">
      <c r="O383" s="215"/>
      <c r="P383" s="215"/>
      <c r="Q383" s="215"/>
      <c r="R383" s="215"/>
      <c r="S383" s="215"/>
      <c r="T383" s="215"/>
      <c r="U383" s="215"/>
      <c r="V383" s="215"/>
      <c r="W383" s="215"/>
      <c r="X383" s="215"/>
      <c r="Y383" s="215"/>
      <c r="Z383" s="215"/>
      <c r="AA383" s="215"/>
      <c r="AB383" s="215"/>
      <c r="AC383" s="215"/>
      <c r="AD383" s="215"/>
      <c r="AE383" s="215"/>
      <c r="AF383" s="215"/>
      <c r="AG383" s="215"/>
      <c r="AH383" s="215"/>
    </row>
    <row r="384" spans="15:34" ht="12">
      <c r="O384" s="215"/>
      <c r="P384" s="215"/>
      <c r="Q384" s="215"/>
      <c r="R384" s="215"/>
      <c r="S384" s="215"/>
      <c r="T384" s="215"/>
      <c r="U384" s="215"/>
      <c r="V384" s="215"/>
      <c r="W384" s="215"/>
      <c r="X384" s="215"/>
      <c r="Y384" s="215"/>
      <c r="Z384" s="215"/>
      <c r="AA384" s="215"/>
      <c r="AB384" s="215"/>
      <c r="AC384" s="215"/>
      <c r="AD384" s="215"/>
      <c r="AE384" s="215"/>
      <c r="AF384" s="215"/>
      <c r="AG384" s="215"/>
      <c r="AH384" s="215"/>
    </row>
    <row r="385" spans="15:34" ht="12">
      <c r="O385" s="215"/>
      <c r="P385" s="215"/>
      <c r="Q385" s="215"/>
      <c r="R385" s="215"/>
      <c r="S385" s="215"/>
      <c r="T385" s="215"/>
      <c r="U385" s="215"/>
      <c r="V385" s="215"/>
      <c r="W385" s="215"/>
      <c r="X385" s="215"/>
      <c r="Y385" s="215"/>
      <c r="Z385" s="215"/>
      <c r="AA385" s="215"/>
      <c r="AB385" s="215"/>
      <c r="AC385" s="215"/>
      <c r="AD385" s="215"/>
      <c r="AE385" s="215"/>
      <c r="AF385" s="215"/>
      <c r="AG385" s="215"/>
      <c r="AH385" s="215"/>
    </row>
    <row r="386" spans="15:34" ht="12">
      <c r="O386" s="215"/>
      <c r="P386" s="215"/>
      <c r="Q386" s="215"/>
      <c r="R386" s="215"/>
      <c r="S386" s="215"/>
      <c r="T386" s="215"/>
      <c r="U386" s="215"/>
      <c r="V386" s="215"/>
      <c r="W386" s="215"/>
      <c r="X386" s="215"/>
      <c r="Y386" s="215"/>
      <c r="Z386" s="215"/>
      <c r="AA386" s="215"/>
      <c r="AB386" s="215"/>
      <c r="AC386" s="215"/>
      <c r="AD386" s="215"/>
      <c r="AE386" s="215"/>
      <c r="AF386" s="215"/>
      <c r="AG386" s="215"/>
      <c r="AH386" s="215"/>
    </row>
    <row r="387" spans="15:34" ht="12">
      <c r="O387" s="215"/>
      <c r="P387" s="215"/>
      <c r="Q387" s="215"/>
      <c r="R387" s="215"/>
      <c r="S387" s="215"/>
      <c r="T387" s="215"/>
      <c r="U387" s="215"/>
      <c r="V387" s="215"/>
      <c r="W387" s="215"/>
      <c r="X387" s="215"/>
      <c r="Y387" s="215"/>
      <c r="Z387" s="215"/>
      <c r="AA387" s="215"/>
      <c r="AB387" s="215"/>
      <c r="AC387" s="215"/>
      <c r="AD387" s="215"/>
      <c r="AE387" s="215"/>
      <c r="AF387" s="215"/>
      <c r="AG387" s="215"/>
      <c r="AH387" s="215"/>
    </row>
    <row r="388" spans="15:34" ht="12"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15"/>
      <c r="Z388" s="215"/>
      <c r="AA388" s="215"/>
      <c r="AB388" s="215"/>
      <c r="AC388" s="215"/>
      <c r="AD388" s="215"/>
      <c r="AE388" s="215"/>
      <c r="AF388" s="215"/>
      <c r="AG388" s="215"/>
      <c r="AH388" s="215"/>
    </row>
    <row r="389" spans="15:34" ht="12"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15"/>
      <c r="Z389" s="215"/>
      <c r="AA389" s="215"/>
      <c r="AB389" s="215"/>
      <c r="AC389" s="215"/>
      <c r="AD389" s="215"/>
      <c r="AE389" s="215"/>
      <c r="AF389" s="215"/>
      <c r="AG389" s="215"/>
      <c r="AH389" s="215"/>
    </row>
    <row r="390" spans="15:34" ht="12">
      <c r="O390" s="215"/>
      <c r="P390" s="215"/>
      <c r="Q390" s="215"/>
      <c r="R390" s="215"/>
      <c r="S390" s="215"/>
      <c r="T390" s="215"/>
      <c r="U390" s="215"/>
      <c r="V390" s="215"/>
      <c r="W390" s="215"/>
      <c r="X390" s="215"/>
      <c r="Y390" s="215"/>
      <c r="Z390" s="215"/>
      <c r="AA390" s="215"/>
      <c r="AB390" s="215"/>
      <c r="AC390" s="215"/>
      <c r="AD390" s="215"/>
      <c r="AE390" s="215"/>
      <c r="AF390" s="215"/>
      <c r="AG390" s="215"/>
      <c r="AH390" s="215"/>
    </row>
    <row r="391" spans="15:34" ht="12">
      <c r="O391" s="215"/>
      <c r="P391" s="215"/>
      <c r="Q391" s="215"/>
      <c r="R391" s="215"/>
      <c r="S391" s="215"/>
      <c r="T391" s="215"/>
      <c r="U391" s="215"/>
      <c r="V391" s="215"/>
      <c r="W391" s="215"/>
      <c r="X391" s="215"/>
      <c r="Y391" s="215"/>
      <c r="Z391" s="215"/>
      <c r="AA391" s="215"/>
      <c r="AB391" s="215"/>
      <c r="AC391" s="215"/>
      <c r="AD391" s="215"/>
      <c r="AE391" s="215"/>
      <c r="AF391" s="215"/>
      <c r="AG391" s="215"/>
      <c r="AH391" s="215"/>
    </row>
    <row r="392" spans="15:34" ht="12"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15"/>
      <c r="Z392" s="215"/>
      <c r="AA392" s="215"/>
      <c r="AB392" s="215"/>
      <c r="AC392" s="215"/>
      <c r="AD392" s="215"/>
      <c r="AE392" s="215"/>
      <c r="AF392" s="215"/>
      <c r="AG392" s="215"/>
      <c r="AH392" s="215"/>
    </row>
    <row r="393" spans="15:34" ht="12"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15"/>
      <c r="Z393" s="215"/>
      <c r="AA393" s="215"/>
      <c r="AB393" s="215"/>
      <c r="AC393" s="215"/>
      <c r="AD393" s="215"/>
      <c r="AE393" s="215"/>
      <c r="AF393" s="215"/>
      <c r="AG393" s="215"/>
      <c r="AH393" s="215"/>
    </row>
    <row r="394" spans="15:34" ht="12">
      <c r="O394" s="215"/>
      <c r="P394" s="215"/>
      <c r="Q394" s="215"/>
      <c r="R394" s="215"/>
      <c r="S394" s="215"/>
      <c r="T394" s="215"/>
      <c r="U394" s="215"/>
      <c r="V394" s="215"/>
      <c r="W394" s="215"/>
      <c r="X394" s="215"/>
      <c r="Y394" s="215"/>
      <c r="Z394" s="215"/>
      <c r="AA394" s="215"/>
      <c r="AB394" s="215"/>
      <c r="AC394" s="215"/>
      <c r="AD394" s="215"/>
      <c r="AE394" s="215"/>
      <c r="AF394" s="215"/>
      <c r="AG394" s="215"/>
      <c r="AH394" s="215"/>
    </row>
    <row r="395" spans="15:34" ht="12">
      <c r="O395" s="215"/>
      <c r="P395" s="215"/>
      <c r="Q395" s="215"/>
      <c r="R395" s="215"/>
      <c r="S395" s="215"/>
      <c r="T395" s="215"/>
      <c r="U395" s="215"/>
      <c r="V395" s="215"/>
      <c r="W395" s="215"/>
      <c r="X395" s="215"/>
      <c r="Y395" s="215"/>
      <c r="Z395" s="215"/>
      <c r="AA395" s="215"/>
      <c r="AB395" s="215"/>
      <c r="AC395" s="215"/>
      <c r="AD395" s="215"/>
      <c r="AE395" s="215"/>
      <c r="AF395" s="215"/>
      <c r="AG395" s="215"/>
      <c r="AH395" s="215"/>
    </row>
    <row r="396" spans="15:34" ht="12"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15"/>
      <c r="Z396" s="215"/>
      <c r="AA396" s="215"/>
      <c r="AB396" s="215"/>
      <c r="AC396" s="215"/>
      <c r="AD396" s="215"/>
      <c r="AE396" s="215"/>
      <c r="AF396" s="215"/>
      <c r="AG396" s="215"/>
      <c r="AH396" s="215"/>
    </row>
    <row r="397" spans="15:34" ht="12"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15"/>
      <c r="Z397" s="215"/>
      <c r="AA397" s="215"/>
      <c r="AB397" s="215"/>
      <c r="AC397" s="215"/>
      <c r="AD397" s="215"/>
      <c r="AE397" s="215"/>
      <c r="AF397" s="215"/>
      <c r="AG397" s="215"/>
      <c r="AH397" s="215"/>
    </row>
    <row r="398" spans="15:34" ht="12"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15"/>
      <c r="Z398" s="215"/>
      <c r="AA398" s="215"/>
      <c r="AB398" s="215"/>
      <c r="AC398" s="215"/>
      <c r="AD398" s="215"/>
      <c r="AE398" s="215"/>
      <c r="AF398" s="215"/>
      <c r="AG398" s="215"/>
      <c r="AH398" s="215"/>
    </row>
    <row r="399" spans="15:34" ht="12">
      <c r="O399" s="215"/>
      <c r="P399" s="215"/>
      <c r="Q399" s="215"/>
      <c r="R399" s="215"/>
      <c r="S399" s="215"/>
      <c r="T399" s="215"/>
      <c r="U399" s="215"/>
      <c r="V399" s="215"/>
      <c r="W399" s="215"/>
      <c r="X399" s="215"/>
      <c r="Y399" s="215"/>
      <c r="Z399" s="215"/>
      <c r="AA399" s="215"/>
      <c r="AB399" s="215"/>
      <c r="AC399" s="215"/>
      <c r="AD399" s="215"/>
      <c r="AE399" s="215"/>
      <c r="AF399" s="215"/>
      <c r="AG399" s="215"/>
      <c r="AH399" s="215"/>
    </row>
    <row r="400" spans="15:34" ht="12">
      <c r="O400" s="215"/>
      <c r="P400" s="215"/>
      <c r="Q400" s="215"/>
      <c r="R400" s="215"/>
      <c r="S400" s="215"/>
      <c r="T400" s="215"/>
      <c r="U400" s="215"/>
      <c r="V400" s="215"/>
      <c r="W400" s="215"/>
      <c r="X400" s="215"/>
      <c r="Y400" s="215"/>
      <c r="Z400" s="215"/>
      <c r="AA400" s="215"/>
      <c r="AB400" s="215"/>
      <c r="AC400" s="215"/>
      <c r="AD400" s="215"/>
      <c r="AE400" s="215"/>
      <c r="AF400" s="215"/>
      <c r="AG400" s="215"/>
      <c r="AH400" s="215"/>
    </row>
    <row r="401" spans="15:34" ht="12">
      <c r="O401" s="215"/>
      <c r="P401" s="215"/>
      <c r="Q401" s="215"/>
      <c r="R401" s="215"/>
      <c r="S401" s="215"/>
      <c r="T401" s="215"/>
      <c r="U401" s="215"/>
      <c r="V401" s="215"/>
      <c r="W401" s="215"/>
      <c r="X401" s="215"/>
      <c r="Y401" s="215"/>
      <c r="Z401" s="215"/>
      <c r="AA401" s="215"/>
      <c r="AB401" s="215"/>
      <c r="AC401" s="215"/>
      <c r="AD401" s="215"/>
      <c r="AE401" s="215"/>
      <c r="AF401" s="215"/>
      <c r="AG401" s="215"/>
      <c r="AH401" s="215"/>
    </row>
    <row r="402" spans="15:34" ht="12">
      <c r="O402" s="215"/>
      <c r="P402" s="215"/>
      <c r="Q402" s="215"/>
      <c r="R402" s="215"/>
      <c r="S402" s="215"/>
      <c r="T402" s="215"/>
      <c r="U402" s="215"/>
      <c r="V402" s="215"/>
      <c r="W402" s="215"/>
      <c r="X402" s="215"/>
      <c r="Y402" s="215"/>
      <c r="Z402" s="215"/>
      <c r="AA402" s="215"/>
      <c r="AB402" s="215"/>
      <c r="AC402" s="215"/>
      <c r="AD402" s="215"/>
      <c r="AE402" s="215"/>
      <c r="AF402" s="215"/>
      <c r="AG402" s="215"/>
      <c r="AH402" s="215"/>
    </row>
    <row r="403" spans="15:34" ht="12">
      <c r="O403" s="215"/>
      <c r="P403" s="215"/>
      <c r="Q403" s="215"/>
      <c r="R403" s="215"/>
      <c r="S403" s="215"/>
      <c r="T403" s="215"/>
      <c r="U403" s="215"/>
      <c r="V403" s="215"/>
      <c r="W403" s="215"/>
      <c r="X403" s="215"/>
      <c r="Y403" s="215"/>
      <c r="Z403" s="215"/>
      <c r="AA403" s="215"/>
      <c r="AB403" s="215"/>
      <c r="AC403" s="215"/>
      <c r="AD403" s="215"/>
      <c r="AE403" s="215"/>
      <c r="AF403" s="215"/>
      <c r="AG403" s="215"/>
      <c r="AH403" s="215"/>
    </row>
    <row r="404" spans="15:34" ht="12">
      <c r="O404" s="215"/>
      <c r="P404" s="215"/>
      <c r="Q404" s="215"/>
      <c r="R404" s="215"/>
      <c r="S404" s="215"/>
      <c r="T404" s="215"/>
      <c r="U404" s="215"/>
      <c r="V404" s="215"/>
      <c r="W404" s="215"/>
      <c r="X404" s="215"/>
      <c r="Y404" s="215"/>
      <c r="Z404" s="215"/>
      <c r="AA404" s="215"/>
      <c r="AB404" s="215"/>
      <c r="AC404" s="215"/>
      <c r="AD404" s="215"/>
      <c r="AE404" s="215"/>
      <c r="AF404" s="215"/>
      <c r="AG404" s="215"/>
      <c r="AH404" s="215"/>
    </row>
    <row r="405" spans="15:34" ht="12">
      <c r="O405" s="215"/>
      <c r="P405" s="215"/>
      <c r="Q405" s="215"/>
      <c r="R405" s="215"/>
      <c r="S405" s="215"/>
      <c r="T405" s="215"/>
      <c r="U405" s="215"/>
      <c r="V405" s="215"/>
      <c r="W405" s="215"/>
      <c r="X405" s="215"/>
      <c r="Y405" s="215"/>
      <c r="Z405" s="215"/>
      <c r="AA405" s="215"/>
      <c r="AB405" s="215"/>
      <c r="AC405" s="215"/>
      <c r="AD405" s="215"/>
      <c r="AE405" s="215"/>
      <c r="AF405" s="215"/>
      <c r="AG405" s="215"/>
      <c r="AH405" s="215"/>
    </row>
    <row r="406" spans="15:34" ht="12">
      <c r="O406" s="215"/>
      <c r="P406" s="215"/>
      <c r="Q406" s="215"/>
      <c r="R406" s="215"/>
      <c r="S406" s="215"/>
      <c r="T406" s="215"/>
      <c r="U406" s="215"/>
      <c r="V406" s="215"/>
      <c r="W406" s="215"/>
      <c r="X406" s="215"/>
      <c r="Y406" s="215"/>
      <c r="Z406" s="215"/>
      <c r="AA406" s="215"/>
      <c r="AB406" s="215"/>
      <c r="AC406" s="215"/>
      <c r="AD406" s="215"/>
      <c r="AE406" s="215"/>
      <c r="AF406" s="215"/>
      <c r="AG406" s="215"/>
      <c r="AH406" s="215"/>
    </row>
    <row r="407" spans="15:34" ht="12">
      <c r="O407" s="215"/>
      <c r="P407" s="215"/>
      <c r="Q407" s="215"/>
      <c r="R407" s="215"/>
      <c r="S407" s="215"/>
      <c r="T407" s="215"/>
      <c r="U407" s="215"/>
      <c r="V407" s="215"/>
      <c r="W407" s="215"/>
      <c r="X407" s="215"/>
      <c r="Y407" s="215"/>
      <c r="Z407" s="215"/>
      <c r="AA407" s="215"/>
      <c r="AB407" s="215"/>
      <c r="AC407" s="215"/>
      <c r="AD407" s="215"/>
      <c r="AE407" s="215"/>
      <c r="AF407" s="215"/>
      <c r="AG407" s="215"/>
      <c r="AH407" s="215"/>
    </row>
    <row r="408" spans="15:34" ht="12">
      <c r="O408" s="215"/>
      <c r="P408" s="215"/>
      <c r="Q408" s="215"/>
      <c r="R408" s="215"/>
      <c r="S408" s="215"/>
      <c r="T408" s="215"/>
      <c r="U408" s="215"/>
      <c r="V408" s="215"/>
      <c r="W408" s="215"/>
      <c r="X408" s="215"/>
      <c r="Y408" s="215"/>
      <c r="Z408" s="215"/>
      <c r="AA408" s="215"/>
      <c r="AB408" s="215"/>
      <c r="AC408" s="215"/>
      <c r="AD408" s="215"/>
      <c r="AE408" s="215"/>
      <c r="AF408" s="215"/>
      <c r="AG408" s="215"/>
      <c r="AH408" s="215"/>
    </row>
    <row r="409" spans="15:34" ht="12">
      <c r="O409" s="215"/>
      <c r="P409" s="215"/>
      <c r="Q409" s="215"/>
      <c r="R409" s="215"/>
      <c r="S409" s="215"/>
      <c r="T409" s="215"/>
      <c r="U409" s="215"/>
      <c r="V409" s="215"/>
      <c r="W409" s="215"/>
      <c r="X409" s="215"/>
      <c r="Y409" s="215"/>
      <c r="Z409" s="215"/>
      <c r="AA409" s="215"/>
      <c r="AB409" s="215"/>
      <c r="AC409" s="215"/>
      <c r="AD409" s="215"/>
      <c r="AE409" s="215"/>
      <c r="AF409" s="215"/>
      <c r="AG409" s="215"/>
      <c r="AH409" s="215"/>
    </row>
    <row r="410" spans="15:34" ht="12">
      <c r="O410" s="215"/>
      <c r="P410" s="215"/>
      <c r="Q410" s="215"/>
      <c r="R410" s="215"/>
      <c r="S410" s="215"/>
      <c r="T410" s="215"/>
      <c r="U410" s="215"/>
      <c r="V410" s="215"/>
      <c r="W410" s="215"/>
      <c r="X410" s="215"/>
      <c r="Y410" s="215"/>
      <c r="Z410" s="215"/>
      <c r="AA410" s="215"/>
      <c r="AB410" s="215"/>
      <c r="AC410" s="215"/>
      <c r="AD410" s="215"/>
      <c r="AE410" s="215"/>
      <c r="AF410" s="215"/>
      <c r="AG410" s="215"/>
      <c r="AH410" s="215"/>
    </row>
    <row r="411" spans="15:34" ht="12">
      <c r="O411" s="215"/>
      <c r="P411" s="215"/>
      <c r="Q411" s="215"/>
      <c r="R411" s="215"/>
      <c r="S411" s="215"/>
      <c r="T411" s="215"/>
      <c r="U411" s="215"/>
      <c r="V411" s="215"/>
      <c r="W411" s="215"/>
      <c r="X411" s="215"/>
      <c r="Y411" s="215"/>
      <c r="Z411" s="215"/>
      <c r="AA411" s="215"/>
      <c r="AB411" s="215"/>
      <c r="AC411" s="215"/>
      <c r="AD411" s="215"/>
      <c r="AE411" s="215"/>
      <c r="AF411" s="215"/>
      <c r="AG411" s="215"/>
      <c r="AH411" s="215"/>
    </row>
    <row r="412" spans="15:34" ht="12">
      <c r="O412" s="215"/>
      <c r="P412" s="215"/>
      <c r="Q412" s="215"/>
      <c r="R412" s="215"/>
      <c r="S412" s="215"/>
      <c r="T412" s="215"/>
      <c r="U412" s="215"/>
      <c r="V412" s="215"/>
      <c r="W412" s="215"/>
      <c r="X412" s="215"/>
      <c r="Y412" s="215"/>
      <c r="Z412" s="215"/>
      <c r="AA412" s="215"/>
      <c r="AB412" s="215"/>
      <c r="AC412" s="215"/>
      <c r="AD412" s="215"/>
      <c r="AE412" s="215"/>
      <c r="AF412" s="215"/>
      <c r="AG412" s="215"/>
      <c r="AH412" s="215"/>
    </row>
    <row r="413" spans="15:34" ht="12">
      <c r="O413" s="215"/>
      <c r="P413" s="215"/>
      <c r="Q413" s="215"/>
      <c r="R413" s="215"/>
      <c r="S413" s="215"/>
      <c r="T413" s="215"/>
      <c r="U413" s="215"/>
      <c r="V413" s="215"/>
      <c r="W413" s="215"/>
      <c r="X413" s="215"/>
      <c r="Y413" s="215"/>
      <c r="Z413" s="215"/>
      <c r="AA413" s="215"/>
      <c r="AB413" s="215"/>
      <c r="AC413" s="215"/>
      <c r="AD413" s="215"/>
      <c r="AE413" s="215"/>
      <c r="AF413" s="215"/>
      <c r="AG413" s="215"/>
      <c r="AH413" s="215"/>
    </row>
    <row r="414" spans="15:34" ht="12">
      <c r="O414" s="215"/>
      <c r="P414" s="215"/>
      <c r="Q414" s="215"/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215"/>
      <c r="AD414" s="215"/>
      <c r="AE414" s="215"/>
      <c r="AF414" s="215"/>
      <c r="AG414" s="215"/>
      <c r="AH414" s="215"/>
    </row>
    <row r="415" spans="15:34" ht="12">
      <c r="O415" s="215"/>
      <c r="P415" s="215"/>
      <c r="Q415" s="215"/>
      <c r="R415" s="215"/>
      <c r="S415" s="215"/>
      <c r="T415" s="215"/>
      <c r="U415" s="215"/>
      <c r="V415" s="215"/>
      <c r="W415" s="215"/>
      <c r="X415" s="215"/>
      <c r="Y415" s="215"/>
      <c r="Z415" s="215"/>
      <c r="AA415" s="215"/>
      <c r="AB415" s="215"/>
      <c r="AC415" s="215"/>
      <c r="AD415" s="215"/>
      <c r="AE415" s="215"/>
      <c r="AF415" s="215"/>
      <c r="AG415" s="215"/>
      <c r="AH415" s="215"/>
    </row>
    <row r="416" spans="15:34" ht="12">
      <c r="O416" s="215"/>
      <c r="P416" s="215"/>
      <c r="Q416" s="215"/>
      <c r="R416" s="215"/>
      <c r="S416" s="215"/>
      <c r="T416" s="215"/>
      <c r="U416" s="215"/>
      <c r="V416" s="215"/>
      <c r="W416" s="215"/>
      <c r="X416" s="215"/>
      <c r="Y416" s="215"/>
      <c r="Z416" s="215"/>
      <c r="AA416" s="215"/>
      <c r="AB416" s="215"/>
      <c r="AC416" s="215"/>
      <c r="AD416" s="215"/>
      <c r="AE416" s="215"/>
      <c r="AF416" s="215"/>
      <c r="AG416" s="215"/>
      <c r="AH416" s="215"/>
    </row>
    <row r="417" spans="15:34" ht="12">
      <c r="O417" s="215"/>
      <c r="P417" s="215"/>
      <c r="Q417" s="215"/>
      <c r="R417" s="215"/>
      <c r="S417" s="215"/>
      <c r="T417" s="215"/>
      <c r="U417" s="215"/>
      <c r="V417" s="215"/>
      <c r="W417" s="215"/>
      <c r="X417" s="215"/>
      <c r="Y417" s="215"/>
      <c r="Z417" s="215"/>
      <c r="AA417" s="215"/>
      <c r="AB417" s="215"/>
      <c r="AC417" s="215"/>
      <c r="AD417" s="215"/>
      <c r="AE417" s="215"/>
      <c r="AF417" s="215"/>
      <c r="AG417" s="215"/>
      <c r="AH417" s="215"/>
    </row>
    <row r="418" spans="15:34" ht="12">
      <c r="O418" s="215"/>
      <c r="P418" s="215"/>
      <c r="Q418" s="215"/>
      <c r="R418" s="215"/>
      <c r="S418" s="215"/>
      <c r="T418" s="215"/>
      <c r="U418" s="215"/>
      <c r="V418" s="215"/>
      <c r="W418" s="215"/>
      <c r="X418" s="215"/>
      <c r="Y418" s="215"/>
      <c r="Z418" s="215"/>
      <c r="AA418" s="215"/>
      <c r="AB418" s="215"/>
      <c r="AC418" s="215"/>
      <c r="AD418" s="215"/>
      <c r="AE418" s="215"/>
      <c r="AF418" s="215"/>
      <c r="AG418" s="215"/>
      <c r="AH418" s="215"/>
    </row>
    <row r="419" spans="15:34" ht="12">
      <c r="O419" s="215"/>
      <c r="P419" s="215"/>
      <c r="Q419" s="215"/>
      <c r="R419" s="215"/>
      <c r="S419" s="215"/>
      <c r="T419" s="215"/>
      <c r="U419" s="215"/>
      <c r="V419" s="215"/>
      <c r="W419" s="215"/>
      <c r="X419" s="215"/>
      <c r="Y419" s="215"/>
      <c r="Z419" s="215"/>
      <c r="AA419" s="215"/>
      <c r="AB419" s="215"/>
      <c r="AC419" s="215"/>
      <c r="AD419" s="215"/>
      <c r="AE419" s="215"/>
      <c r="AF419" s="215"/>
      <c r="AG419" s="215"/>
      <c r="AH419" s="215"/>
    </row>
    <row r="420" spans="15:34" ht="12">
      <c r="O420" s="215"/>
      <c r="P420" s="215"/>
      <c r="Q420" s="215"/>
      <c r="R420" s="215"/>
      <c r="S420" s="215"/>
      <c r="T420" s="215"/>
      <c r="U420" s="215"/>
      <c r="V420" s="215"/>
      <c r="W420" s="215"/>
      <c r="X420" s="215"/>
      <c r="Y420" s="215"/>
      <c r="Z420" s="215"/>
      <c r="AA420" s="215"/>
      <c r="AB420" s="215"/>
      <c r="AC420" s="215"/>
      <c r="AD420" s="215"/>
      <c r="AE420" s="215"/>
      <c r="AF420" s="215"/>
      <c r="AG420" s="215"/>
      <c r="AH420" s="215"/>
    </row>
    <row r="421" spans="15:34" ht="12">
      <c r="O421" s="215"/>
      <c r="P421" s="215"/>
      <c r="Q421" s="215"/>
      <c r="R421" s="215"/>
      <c r="S421" s="215"/>
      <c r="T421" s="215"/>
      <c r="U421" s="215"/>
      <c r="V421" s="215"/>
      <c r="W421" s="215"/>
      <c r="X421" s="215"/>
      <c r="Y421" s="215"/>
      <c r="Z421" s="215"/>
      <c r="AA421" s="215"/>
      <c r="AB421" s="215"/>
      <c r="AC421" s="215"/>
      <c r="AD421" s="215"/>
      <c r="AE421" s="215"/>
      <c r="AF421" s="215"/>
      <c r="AG421" s="215"/>
      <c r="AH421" s="215"/>
    </row>
    <row r="422" spans="15:34" ht="12">
      <c r="O422" s="215"/>
      <c r="P422" s="215"/>
      <c r="Q422" s="215"/>
      <c r="R422" s="215"/>
      <c r="S422" s="215"/>
      <c r="T422" s="215"/>
      <c r="U422" s="215"/>
      <c r="V422" s="215"/>
      <c r="W422" s="215"/>
      <c r="X422" s="215"/>
      <c r="Y422" s="215"/>
      <c r="Z422" s="215"/>
      <c r="AA422" s="215"/>
      <c r="AB422" s="215"/>
      <c r="AC422" s="215"/>
      <c r="AD422" s="215"/>
      <c r="AE422" s="215"/>
      <c r="AF422" s="215"/>
      <c r="AG422" s="215"/>
      <c r="AH422" s="215"/>
    </row>
    <row r="423" spans="15:34" ht="12">
      <c r="O423" s="215"/>
      <c r="P423" s="215"/>
      <c r="Q423" s="215"/>
      <c r="R423" s="215"/>
      <c r="S423" s="215"/>
      <c r="T423" s="215"/>
      <c r="U423" s="215"/>
      <c r="V423" s="215"/>
      <c r="W423" s="215"/>
      <c r="X423" s="215"/>
      <c r="Y423" s="215"/>
      <c r="Z423" s="215"/>
      <c r="AA423" s="215"/>
      <c r="AB423" s="215"/>
      <c r="AC423" s="215"/>
      <c r="AD423" s="215"/>
      <c r="AE423" s="215"/>
      <c r="AF423" s="215"/>
      <c r="AG423" s="215"/>
      <c r="AH423" s="215"/>
    </row>
    <row r="424" spans="15:34" ht="12">
      <c r="O424" s="215"/>
      <c r="P424" s="215"/>
      <c r="Q424" s="215"/>
      <c r="R424" s="215"/>
      <c r="S424" s="215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215"/>
      <c r="AD424" s="215"/>
      <c r="AE424" s="215"/>
      <c r="AF424" s="215"/>
      <c r="AG424" s="215"/>
      <c r="AH424" s="215"/>
    </row>
    <row r="425" spans="15:34" ht="12">
      <c r="O425" s="215"/>
      <c r="P425" s="215"/>
      <c r="Q425" s="215"/>
      <c r="R425" s="215"/>
      <c r="S425" s="215"/>
      <c r="T425" s="215"/>
      <c r="U425" s="215"/>
      <c r="V425" s="215"/>
      <c r="W425" s="215"/>
      <c r="X425" s="215"/>
      <c r="Y425" s="215"/>
      <c r="Z425" s="215"/>
      <c r="AA425" s="215"/>
      <c r="AB425" s="215"/>
      <c r="AC425" s="215"/>
      <c r="AD425" s="215"/>
      <c r="AE425" s="215"/>
      <c r="AF425" s="215"/>
      <c r="AG425" s="215"/>
      <c r="AH425" s="215"/>
    </row>
    <row r="426" spans="15:34" ht="12">
      <c r="O426" s="215"/>
      <c r="P426" s="215"/>
      <c r="Q426" s="215"/>
      <c r="R426" s="215"/>
      <c r="S426" s="215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  <c r="AD426" s="215"/>
      <c r="AE426" s="215"/>
      <c r="AF426" s="215"/>
      <c r="AG426" s="215"/>
      <c r="AH426" s="215"/>
    </row>
    <row r="427" spans="15:34" ht="12">
      <c r="O427" s="215"/>
      <c r="P427" s="215"/>
      <c r="Q427" s="215"/>
      <c r="R427" s="215"/>
      <c r="S427" s="215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  <c r="AD427" s="215"/>
      <c r="AE427" s="215"/>
      <c r="AF427" s="215"/>
      <c r="AG427" s="215"/>
      <c r="AH427" s="215"/>
    </row>
    <row r="428" spans="15:34" ht="12"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215"/>
      <c r="AD428" s="215"/>
      <c r="AE428" s="215"/>
      <c r="AF428" s="215"/>
      <c r="AG428" s="215"/>
      <c r="AH428" s="215"/>
    </row>
    <row r="429" spans="15:34" ht="12"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15"/>
      <c r="Z429" s="215"/>
      <c r="AA429" s="215"/>
      <c r="AB429" s="215"/>
      <c r="AC429" s="215"/>
      <c r="AD429" s="215"/>
      <c r="AE429" s="215"/>
      <c r="AF429" s="215"/>
      <c r="AG429" s="215"/>
      <c r="AH429" s="215"/>
    </row>
    <row r="430" spans="15:34" ht="12">
      <c r="O430" s="215"/>
      <c r="P430" s="215"/>
      <c r="Q430" s="215"/>
      <c r="R430" s="215"/>
      <c r="S430" s="215"/>
      <c r="T430" s="215"/>
      <c r="U430" s="215"/>
      <c r="V430" s="215"/>
      <c r="W430" s="215"/>
      <c r="X430" s="215"/>
      <c r="Y430" s="215"/>
      <c r="Z430" s="215"/>
      <c r="AA430" s="215"/>
      <c r="AB430" s="215"/>
      <c r="AC430" s="215"/>
      <c r="AD430" s="215"/>
      <c r="AE430" s="215"/>
      <c r="AF430" s="215"/>
      <c r="AG430" s="215"/>
      <c r="AH430" s="215"/>
    </row>
    <row r="431" spans="15:34" ht="12">
      <c r="O431" s="215"/>
      <c r="P431" s="215"/>
      <c r="Q431" s="215"/>
      <c r="R431" s="215"/>
      <c r="S431" s="215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215"/>
      <c r="AD431" s="215"/>
      <c r="AE431" s="215"/>
      <c r="AF431" s="215"/>
      <c r="AG431" s="215"/>
      <c r="AH431" s="215"/>
    </row>
    <row r="432" spans="15:34" ht="12"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15"/>
      <c r="Z432" s="215"/>
      <c r="AA432" s="215"/>
      <c r="AB432" s="215"/>
      <c r="AC432" s="215"/>
      <c r="AD432" s="215"/>
      <c r="AE432" s="215"/>
      <c r="AF432" s="215"/>
      <c r="AG432" s="215"/>
      <c r="AH432" s="215"/>
    </row>
    <row r="433" spans="15:34" ht="12"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15"/>
      <c r="Z433" s="215"/>
      <c r="AA433" s="215"/>
      <c r="AB433" s="215"/>
      <c r="AC433" s="215"/>
      <c r="AD433" s="215"/>
      <c r="AE433" s="215"/>
      <c r="AF433" s="215"/>
      <c r="AG433" s="215"/>
      <c r="AH433" s="215"/>
    </row>
    <row r="434" spans="15:34" ht="12">
      <c r="O434" s="215"/>
      <c r="P434" s="215"/>
      <c r="Q434" s="215"/>
      <c r="R434" s="215"/>
      <c r="S434" s="215"/>
      <c r="T434" s="215"/>
      <c r="U434" s="215"/>
      <c r="V434" s="215"/>
      <c r="W434" s="215"/>
      <c r="X434" s="215"/>
      <c r="Y434" s="215"/>
      <c r="Z434" s="215"/>
      <c r="AA434" s="215"/>
      <c r="AB434" s="215"/>
      <c r="AC434" s="215"/>
      <c r="AD434" s="215"/>
      <c r="AE434" s="215"/>
      <c r="AF434" s="215"/>
      <c r="AG434" s="215"/>
      <c r="AH434" s="215"/>
    </row>
    <row r="435" spans="15:34" ht="12">
      <c r="O435" s="215"/>
      <c r="P435" s="215"/>
      <c r="Q435" s="215"/>
      <c r="R435" s="215"/>
      <c r="S435" s="215"/>
      <c r="T435" s="215"/>
      <c r="U435" s="215"/>
      <c r="V435" s="215"/>
      <c r="W435" s="215"/>
      <c r="X435" s="215"/>
      <c r="Y435" s="215"/>
      <c r="Z435" s="215"/>
      <c r="AA435" s="215"/>
      <c r="AB435" s="215"/>
      <c r="AC435" s="215"/>
      <c r="AD435" s="215"/>
      <c r="AE435" s="215"/>
      <c r="AF435" s="215"/>
      <c r="AG435" s="215"/>
      <c r="AH435" s="215"/>
    </row>
    <row r="436" spans="15:34" ht="12"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15"/>
      <c r="Z436" s="215"/>
      <c r="AA436" s="215"/>
      <c r="AB436" s="215"/>
      <c r="AC436" s="215"/>
      <c r="AD436" s="215"/>
      <c r="AE436" s="215"/>
      <c r="AF436" s="215"/>
      <c r="AG436" s="215"/>
      <c r="AH436" s="215"/>
    </row>
    <row r="437" spans="15:34" ht="12"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15"/>
      <c r="Z437" s="215"/>
      <c r="AA437" s="215"/>
      <c r="AB437" s="215"/>
      <c r="AC437" s="215"/>
      <c r="AD437" s="215"/>
      <c r="AE437" s="215"/>
      <c r="AF437" s="215"/>
      <c r="AG437" s="215"/>
      <c r="AH437" s="215"/>
    </row>
    <row r="438" spans="15:34" ht="12"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15"/>
      <c r="Z438" s="215"/>
      <c r="AA438" s="215"/>
      <c r="AB438" s="215"/>
      <c r="AC438" s="215"/>
      <c r="AD438" s="215"/>
      <c r="AE438" s="215"/>
      <c r="AF438" s="215"/>
      <c r="AG438" s="215"/>
      <c r="AH438" s="215"/>
    </row>
    <row r="439" spans="15:34" ht="12">
      <c r="O439" s="215"/>
      <c r="P439" s="215"/>
      <c r="Q439" s="215"/>
      <c r="R439" s="215"/>
      <c r="S439" s="215"/>
      <c r="T439" s="215"/>
      <c r="U439" s="215"/>
      <c r="V439" s="215"/>
      <c r="W439" s="215"/>
      <c r="X439" s="215"/>
      <c r="Y439" s="215"/>
      <c r="Z439" s="215"/>
      <c r="AA439" s="215"/>
      <c r="AB439" s="215"/>
      <c r="AC439" s="215"/>
      <c r="AD439" s="215"/>
      <c r="AE439" s="215"/>
      <c r="AF439" s="215"/>
      <c r="AG439" s="215"/>
      <c r="AH439" s="215"/>
    </row>
    <row r="440" spans="15:34" ht="12">
      <c r="O440" s="215"/>
      <c r="P440" s="215"/>
      <c r="Q440" s="215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5"/>
      <c r="AD440" s="215"/>
      <c r="AE440" s="215"/>
      <c r="AF440" s="215"/>
      <c r="AG440" s="215"/>
      <c r="AH440" s="215"/>
    </row>
    <row r="441" spans="15:34" ht="12">
      <c r="O441" s="215"/>
      <c r="P441" s="215"/>
      <c r="Q441" s="215"/>
      <c r="R441" s="215"/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215"/>
      <c r="AD441" s="215"/>
      <c r="AE441" s="215"/>
      <c r="AF441" s="215"/>
      <c r="AG441" s="215"/>
      <c r="AH441" s="215"/>
    </row>
    <row r="442" spans="15:34" ht="12">
      <c r="O442" s="215"/>
      <c r="P442" s="215"/>
      <c r="Q442" s="215"/>
      <c r="R442" s="215"/>
      <c r="S442" s="215"/>
      <c r="T442" s="215"/>
      <c r="U442" s="215"/>
      <c r="V442" s="215"/>
      <c r="W442" s="215"/>
      <c r="X442" s="215"/>
      <c r="Y442" s="215"/>
      <c r="Z442" s="215"/>
      <c r="AA442" s="215"/>
      <c r="AB442" s="215"/>
      <c r="AC442" s="215"/>
      <c r="AD442" s="215"/>
      <c r="AE442" s="215"/>
      <c r="AF442" s="215"/>
      <c r="AG442" s="215"/>
      <c r="AH442" s="215"/>
    </row>
    <row r="443" spans="15:34" ht="12">
      <c r="O443" s="215"/>
      <c r="P443" s="215"/>
      <c r="Q443" s="215"/>
      <c r="R443" s="215"/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215"/>
      <c r="AD443" s="215"/>
      <c r="AE443" s="215"/>
      <c r="AF443" s="215"/>
      <c r="AG443" s="215"/>
      <c r="AH443" s="215"/>
    </row>
    <row r="444" spans="15:34" ht="12">
      <c r="O444" s="215"/>
      <c r="P444" s="215"/>
      <c r="Q444" s="215"/>
      <c r="R444" s="215"/>
      <c r="S444" s="215"/>
      <c r="T444" s="215"/>
      <c r="U444" s="215"/>
      <c r="V444" s="215"/>
      <c r="W444" s="215"/>
      <c r="X444" s="215"/>
      <c r="Y444" s="215"/>
      <c r="Z444" s="215"/>
      <c r="AA444" s="215"/>
      <c r="AB444" s="215"/>
      <c r="AC444" s="215"/>
      <c r="AD444" s="215"/>
      <c r="AE444" s="215"/>
      <c r="AF444" s="215"/>
      <c r="AG444" s="215"/>
      <c r="AH444" s="215"/>
    </row>
    <row r="445" spans="15:34" ht="12">
      <c r="O445" s="215"/>
      <c r="P445" s="215"/>
      <c r="Q445" s="215"/>
      <c r="R445" s="215"/>
      <c r="S445" s="215"/>
      <c r="T445" s="215"/>
      <c r="U445" s="215"/>
      <c r="V445" s="215"/>
      <c r="W445" s="215"/>
      <c r="X445" s="215"/>
      <c r="Y445" s="215"/>
      <c r="Z445" s="215"/>
      <c r="AA445" s="215"/>
      <c r="AB445" s="215"/>
      <c r="AC445" s="215"/>
      <c r="AD445" s="215"/>
      <c r="AE445" s="215"/>
      <c r="AF445" s="215"/>
      <c r="AG445" s="215"/>
      <c r="AH445" s="215"/>
    </row>
    <row r="446" spans="15:34" ht="12">
      <c r="O446" s="215"/>
      <c r="P446" s="215"/>
      <c r="Q446" s="215"/>
      <c r="R446" s="215"/>
      <c r="S446" s="215"/>
      <c r="T446" s="215"/>
      <c r="U446" s="215"/>
      <c r="V446" s="215"/>
      <c r="W446" s="215"/>
      <c r="X446" s="215"/>
      <c r="Y446" s="215"/>
      <c r="Z446" s="215"/>
      <c r="AA446" s="215"/>
      <c r="AB446" s="215"/>
      <c r="AC446" s="215"/>
      <c r="AD446" s="215"/>
      <c r="AE446" s="215"/>
      <c r="AF446" s="215"/>
      <c r="AG446" s="215"/>
      <c r="AH446" s="215"/>
    </row>
    <row r="447" spans="15:34" ht="12">
      <c r="O447" s="215"/>
      <c r="P447" s="215"/>
      <c r="Q447" s="215"/>
      <c r="R447" s="215"/>
      <c r="S447" s="215"/>
      <c r="T447" s="215"/>
      <c r="U447" s="215"/>
      <c r="V447" s="215"/>
      <c r="W447" s="215"/>
      <c r="X447" s="215"/>
      <c r="Y447" s="215"/>
      <c r="Z447" s="215"/>
      <c r="AA447" s="215"/>
      <c r="AB447" s="215"/>
      <c r="AC447" s="215"/>
      <c r="AD447" s="215"/>
      <c r="AE447" s="215"/>
      <c r="AF447" s="215"/>
      <c r="AG447" s="215"/>
      <c r="AH447" s="215"/>
    </row>
    <row r="448" spans="15:34" ht="12">
      <c r="O448" s="215"/>
      <c r="P448" s="215"/>
      <c r="Q448" s="215"/>
      <c r="R448" s="215"/>
      <c r="S448" s="215"/>
      <c r="T448" s="215"/>
      <c r="U448" s="215"/>
      <c r="V448" s="215"/>
      <c r="W448" s="215"/>
      <c r="X448" s="215"/>
      <c r="Y448" s="215"/>
      <c r="Z448" s="215"/>
      <c r="AA448" s="215"/>
      <c r="AB448" s="215"/>
      <c r="AC448" s="215"/>
      <c r="AD448" s="215"/>
      <c r="AE448" s="215"/>
      <c r="AF448" s="215"/>
      <c r="AG448" s="215"/>
      <c r="AH448" s="215"/>
    </row>
    <row r="449" spans="15:34" ht="12">
      <c r="O449" s="215"/>
      <c r="P449" s="215"/>
      <c r="Q449" s="215"/>
      <c r="R449" s="215"/>
      <c r="S449" s="215"/>
      <c r="T449" s="215"/>
      <c r="U449" s="215"/>
      <c r="V449" s="215"/>
      <c r="W449" s="215"/>
      <c r="X449" s="215"/>
      <c r="Y449" s="215"/>
      <c r="Z449" s="215"/>
      <c r="AA449" s="215"/>
      <c r="AB449" s="215"/>
      <c r="AC449" s="215"/>
      <c r="AD449" s="215"/>
      <c r="AE449" s="215"/>
      <c r="AF449" s="215"/>
      <c r="AG449" s="215"/>
      <c r="AH449" s="215"/>
    </row>
    <row r="450" spans="15:34" ht="12">
      <c r="O450" s="215"/>
      <c r="P450" s="215"/>
      <c r="Q450" s="215"/>
      <c r="R450" s="215"/>
      <c r="S450" s="215"/>
      <c r="T450" s="215"/>
      <c r="U450" s="215"/>
      <c r="V450" s="215"/>
      <c r="W450" s="215"/>
      <c r="X450" s="215"/>
      <c r="Y450" s="215"/>
      <c r="Z450" s="215"/>
      <c r="AA450" s="215"/>
      <c r="AB450" s="215"/>
      <c r="AC450" s="215"/>
      <c r="AD450" s="215"/>
      <c r="AE450" s="215"/>
      <c r="AF450" s="215"/>
      <c r="AG450" s="215"/>
      <c r="AH450" s="215"/>
    </row>
    <row r="451" spans="15:34" ht="12">
      <c r="O451" s="215"/>
      <c r="P451" s="215"/>
      <c r="Q451" s="215"/>
      <c r="R451" s="215"/>
      <c r="S451" s="215"/>
      <c r="T451" s="215"/>
      <c r="U451" s="215"/>
      <c r="V451" s="215"/>
      <c r="W451" s="215"/>
      <c r="X451" s="215"/>
      <c r="Y451" s="215"/>
      <c r="Z451" s="215"/>
      <c r="AA451" s="215"/>
      <c r="AB451" s="215"/>
      <c r="AC451" s="215"/>
      <c r="AD451" s="215"/>
      <c r="AE451" s="215"/>
      <c r="AF451" s="215"/>
      <c r="AG451" s="215"/>
      <c r="AH451" s="215"/>
    </row>
    <row r="452" spans="15:34" ht="12">
      <c r="O452" s="215"/>
      <c r="P452" s="215"/>
      <c r="Q452" s="215"/>
      <c r="R452" s="215"/>
      <c r="S452" s="215"/>
      <c r="T452" s="215"/>
      <c r="U452" s="215"/>
      <c r="V452" s="215"/>
      <c r="W452" s="215"/>
      <c r="X452" s="215"/>
      <c r="Y452" s="215"/>
      <c r="Z452" s="215"/>
      <c r="AA452" s="215"/>
      <c r="AB452" s="215"/>
      <c r="AC452" s="215"/>
      <c r="AD452" s="215"/>
      <c r="AE452" s="215"/>
      <c r="AF452" s="215"/>
      <c r="AG452" s="215"/>
      <c r="AH452" s="215"/>
    </row>
    <row r="453" spans="15:34" ht="12">
      <c r="O453" s="215"/>
      <c r="P453" s="215"/>
      <c r="Q453" s="215"/>
      <c r="R453" s="215"/>
      <c r="S453" s="215"/>
      <c r="T453" s="215"/>
      <c r="U453" s="215"/>
      <c r="V453" s="215"/>
      <c r="W453" s="215"/>
      <c r="X453" s="215"/>
      <c r="Y453" s="215"/>
      <c r="Z453" s="215"/>
      <c r="AA453" s="215"/>
      <c r="AB453" s="215"/>
      <c r="AC453" s="215"/>
      <c r="AD453" s="215"/>
      <c r="AE453" s="215"/>
      <c r="AF453" s="215"/>
      <c r="AG453" s="215"/>
      <c r="AH453" s="215"/>
    </row>
    <row r="454" spans="15:34" ht="12">
      <c r="O454" s="215"/>
      <c r="P454" s="215"/>
      <c r="Q454" s="215"/>
      <c r="R454" s="215"/>
      <c r="S454" s="215"/>
      <c r="T454" s="215"/>
      <c r="U454" s="215"/>
      <c r="V454" s="215"/>
      <c r="W454" s="215"/>
      <c r="X454" s="215"/>
      <c r="Y454" s="215"/>
      <c r="Z454" s="215"/>
      <c r="AA454" s="215"/>
      <c r="AB454" s="215"/>
      <c r="AC454" s="215"/>
      <c r="AD454" s="215"/>
      <c r="AE454" s="215"/>
      <c r="AF454" s="215"/>
      <c r="AG454" s="215"/>
      <c r="AH454" s="215"/>
    </row>
    <row r="455" spans="15:34" ht="12">
      <c r="O455" s="215"/>
      <c r="P455" s="215"/>
      <c r="Q455" s="215"/>
      <c r="R455" s="215"/>
      <c r="S455" s="215"/>
      <c r="T455" s="215"/>
      <c r="U455" s="215"/>
      <c r="V455" s="215"/>
      <c r="W455" s="215"/>
      <c r="X455" s="215"/>
      <c r="Y455" s="215"/>
      <c r="Z455" s="215"/>
      <c r="AA455" s="215"/>
      <c r="AB455" s="215"/>
      <c r="AC455" s="215"/>
      <c r="AD455" s="215"/>
      <c r="AE455" s="215"/>
      <c r="AF455" s="215"/>
      <c r="AG455" s="215"/>
      <c r="AH455" s="215"/>
    </row>
    <row r="456" spans="15:34" ht="12">
      <c r="O456" s="215"/>
      <c r="P456" s="215"/>
      <c r="Q456" s="215"/>
      <c r="R456" s="215"/>
      <c r="S456" s="215"/>
      <c r="T456" s="215"/>
      <c r="U456" s="215"/>
      <c r="V456" s="215"/>
      <c r="W456" s="215"/>
      <c r="X456" s="215"/>
      <c r="Y456" s="215"/>
      <c r="Z456" s="215"/>
      <c r="AA456" s="215"/>
      <c r="AB456" s="215"/>
      <c r="AC456" s="215"/>
      <c r="AD456" s="215"/>
      <c r="AE456" s="215"/>
      <c r="AF456" s="215"/>
      <c r="AG456" s="215"/>
      <c r="AH456" s="215"/>
    </row>
    <row r="457" spans="15:34" ht="12">
      <c r="O457" s="215"/>
      <c r="P457" s="215"/>
      <c r="Q457" s="215"/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215"/>
      <c r="AD457" s="215"/>
      <c r="AE457" s="215"/>
      <c r="AF457" s="215"/>
      <c r="AG457" s="215"/>
      <c r="AH457" s="215"/>
    </row>
    <row r="458" spans="15:34" ht="12">
      <c r="O458" s="215"/>
      <c r="P458" s="215"/>
      <c r="Q458" s="215"/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215"/>
      <c r="AD458" s="215"/>
      <c r="AE458" s="215"/>
      <c r="AF458" s="215"/>
      <c r="AG458" s="215"/>
      <c r="AH458" s="215"/>
    </row>
    <row r="459" spans="15:34" ht="12">
      <c r="O459" s="215"/>
      <c r="P459" s="215"/>
      <c r="Q459" s="215"/>
      <c r="R459" s="215"/>
      <c r="S459" s="215"/>
      <c r="T459" s="215"/>
      <c r="U459" s="215"/>
      <c r="V459" s="215"/>
      <c r="W459" s="215"/>
      <c r="X459" s="215"/>
      <c r="Y459" s="215"/>
      <c r="Z459" s="215"/>
      <c r="AA459" s="215"/>
      <c r="AB459" s="215"/>
      <c r="AC459" s="215"/>
      <c r="AD459" s="215"/>
      <c r="AE459" s="215"/>
      <c r="AF459" s="215"/>
      <c r="AG459" s="215"/>
      <c r="AH459" s="215"/>
    </row>
    <row r="460" spans="15:34" ht="12">
      <c r="O460" s="215"/>
      <c r="P460" s="215"/>
      <c r="Q460" s="215"/>
      <c r="R460" s="215"/>
      <c r="S460" s="215"/>
      <c r="T460" s="215"/>
      <c r="U460" s="215"/>
      <c r="V460" s="215"/>
      <c r="W460" s="215"/>
      <c r="X460" s="215"/>
      <c r="Y460" s="215"/>
      <c r="Z460" s="215"/>
      <c r="AA460" s="215"/>
      <c r="AB460" s="215"/>
      <c r="AC460" s="215"/>
      <c r="AD460" s="215"/>
      <c r="AE460" s="215"/>
      <c r="AF460" s="215"/>
      <c r="AG460" s="215"/>
      <c r="AH460" s="215"/>
    </row>
    <row r="461" spans="15:34" ht="12">
      <c r="O461" s="215"/>
      <c r="P461" s="215"/>
      <c r="Q461" s="215"/>
      <c r="R461" s="215"/>
      <c r="S461" s="215"/>
      <c r="T461" s="215"/>
      <c r="U461" s="215"/>
      <c r="V461" s="215"/>
      <c r="W461" s="215"/>
      <c r="X461" s="215"/>
      <c r="Y461" s="215"/>
      <c r="Z461" s="215"/>
      <c r="AA461" s="215"/>
      <c r="AB461" s="215"/>
      <c r="AC461" s="215"/>
      <c r="AD461" s="215"/>
      <c r="AE461" s="215"/>
      <c r="AF461" s="215"/>
      <c r="AG461" s="215"/>
      <c r="AH461" s="215"/>
    </row>
    <row r="462" spans="15:34" ht="12">
      <c r="O462" s="215"/>
      <c r="P462" s="215"/>
      <c r="Q462" s="215"/>
      <c r="R462" s="215"/>
      <c r="S462" s="215"/>
      <c r="T462" s="215"/>
      <c r="U462" s="215"/>
      <c r="V462" s="215"/>
      <c r="W462" s="215"/>
      <c r="X462" s="215"/>
      <c r="Y462" s="215"/>
      <c r="Z462" s="215"/>
      <c r="AA462" s="215"/>
      <c r="AB462" s="215"/>
      <c r="AC462" s="215"/>
      <c r="AD462" s="215"/>
      <c r="AE462" s="215"/>
      <c r="AF462" s="215"/>
      <c r="AG462" s="215"/>
      <c r="AH462" s="215"/>
    </row>
    <row r="463" spans="15:34" ht="12">
      <c r="O463" s="215"/>
      <c r="P463" s="215"/>
      <c r="Q463" s="215"/>
      <c r="R463" s="215"/>
      <c r="S463" s="215"/>
      <c r="T463" s="215"/>
      <c r="U463" s="215"/>
      <c r="V463" s="215"/>
      <c r="W463" s="215"/>
      <c r="X463" s="215"/>
      <c r="Y463" s="215"/>
      <c r="Z463" s="215"/>
      <c r="AA463" s="215"/>
      <c r="AB463" s="215"/>
      <c r="AC463" s="215"/>
      <c r="AD463" s="215"/>
      <c r="AE463" s="215"/>
      <c r="AF463" s="215"/>
      <c r="AG463" s="215"/>
      <c r="AH463" s="215"/>
    </row>
    <row r="464" spans="15:34" ht="12">
      <c r="O464" s="215"/>
      <c r="P464" s="215"/>
      <c r="Q464" s="215"/>
      <c r="R464" s="215"/>
      <c r="S464" s="215"/>
      <c r="T464" s="215"/>
      <c r="U464" s="215"/>
      <c r="V464" s="215"/>
      <c r="W464" s="215"/>
      <c r="X464" s="215"/>
      <c r="Y464" s="215"/>
      <c r="Z464" s="215"/>
      <c r="AA464" s="215"/>
      <c r="AB464" s="215"/>
      <c r="AC464" s="215"/>
      <c r="AD464" s="215"/>
      <c r="AE464" s="215"/>
      <c r="AF464" s="215"/>
      <c r="AG464" s="215"/>
      <c r="AH464" s="215"/>
    </row>
    <row r="465" spans="15:34" ht="12">
      <c r="O465" s="215"/>
      <c r="P465" s="215"/>
      <c r="Q465" s="215"/>
      <c r="R465" s="215"/>
      <c r="S465" s="215"/>
      <c r="T465" s="215"/>
      <c r="U465" s="215"/>
      <c r="V465" s="215"/>
      <c r="W465" s="215"/>
      <c r="X465" s="215"/>
      <c r="Y465" s="215"/>
      <c r="Z465" s="215"/>
      <c r="AA465" s="215"/>
      <c r="AB465" s="215"/>
      <c r="AC465" s="215"/>
      <c r="AD465" s="215"/>
      <c r="AE465" s="215"/>
      <c r="AF465" s="215"/>
      <c r="AG465" s="215"/>
      <c r="AH465" s="215"/>
    </row>
    <row r="466" spans="15:34" ht="12">
      <c r="O466" s="215"/>
      <c r="P466" s="215"/>
      <c r="Q466" s="215"/>
      <c r="R466" s="215"/>
      <c r="S466" s="215"/>
      <c r="T466" s="215"/>
      <c r="U466" s="215"/>
      <c r="V466" s="215"/>
      <c r="W466" s="215"/>
      <c r="X466" s="215"/>
      <c r="Y466" s="215"/>
      <c r="Z466" s="215"/>
      <c r="AA466" s="215"/>
      <c r="AB466" s="215"/>
      <c r="AC466" s="215"/>
      <c r="AD466" s="215"/>
      <c r="AE466" s="215"/>
      <c r="AF466" s="215"/>
      <c r="AG466" s="215"/>
      <c r="AH466" s="215"/>
    </row>
    <row r="467" spans="15:34" ht="12">
      <c r="O467" s="215"/>
      <c r="P467" s="215"/>
      <c r="Q467" s="215"/>
      <c r="R467" s="215"/>
      <c r="S467" s="215"/>
      <c r="T467" s="215"/>
      <c r="U467" s="215"/>
      <c r="V467" s="215"/>
      <c r="W467" s="215"/>
      <c r="X467" s="215"/>
      <c r="Y467" s="215"/>
      <c r="Z467" s="215"/>
      <c r="AA467" s="215"/>
      <c r="AB467" s="215"/>
      <c r="AC467" s="215"/>
      <c r="AD467" s="215"/>
      <c r="AE467" s="215"/>
      <c r="AF467" s="215"/>
      <c r="AG467" s="215"/>
      <c r="AH467" s="215"/>
    </row>
    <row r="468" spans="15:34" ht="12"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15"/>
      <c r="Z468" s="215"/>
      <c r="AA468" s="215"/>
      <c r="AB468" s="215"/>
      <c r="AC468" s="215"/>
      <c r="AD468" s="215"/>
      <c r="AE468" s="215"/>
      <c r="AF468" s="215"/>
      <c r="AG468" s="215"/>
      <c r="AH468" s="215"/>
    </row>
    <row r="469" spans="15:34" ht="12"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15"/>
      <c r="Z469" s="215"/>
      <c r="AA469" s="215"/>
      <c r="AB469" s="215"/>
      <c r="AC469" s="215"/>
      <c r="AD469" s="215"/>
      <c r="AE469" s="215"/>
      <c r="AF469" s="215"/>
      <c r="AG469" s="215"/>
      <c r="AH469" s="215"/>
    </row>
    <row r="470" spans="15:34" ht="12">
      <c r="O470" s="215"/>
      <c r="P470" s="215"/>
      <c r="Q470" s="215"/>
      <c r="R470" s="215"/>
      <c r="S470" s="215"/>
      <c r="T470" s="215"/>
      <c r="U470" s="215"/>
      <c r="V470" s="215"/>
      <c r="W470" s="215"/>
      <c r="X470" s="215"/>
      <c r="Y470" s="215"/>
      <c r="Z470" s="215"/>
      <c r="AA470" s="215"/>
      <c r="AB470" s="215"/>
      <c r="AC470" s="215"/>
      <c r="AD470" s="215"/>
      <c r="AE470" s="215"/>
      <c r="AF470" s="215"/>
      <c r="AG470" s="215"/>
      <c r="AH470" s="215"/>
    </row>
    <row r="471" spans="15:34" ht="12">
      <c r="O471" s="215"/>
      <c r="P471" s="215"/>
      <c r="Q471" s="215"/>
      <c r="R471" s="215"/>
      <c r="S471" s="215"/>
      <c r="T471" s="215"/>
      <c r="U471" s="215"/>
      <c r="V471" s="215"/>
      <c r="W471" s="215"/>
      <c r="X471" s="215"/>
      <c r="Y471" s="215"/>
      <c r="Z471" s="215"/>
      <c r="AA471" s="215"/>
      <c r="AB471" s="215"/>
      <c r="AC471" s="215"/>
      <c r="AD471" s="215"/>
      <c r="AE471" s="215"/>
      <c r="AF471" s="215"/>
      <c r="AG471" s="215"/>
      <c r="AH471" s="215"/>
    </row>
    <row r="472" spans="15:34" ht="12"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15"/>
      <c r="Z472" s="215"/>
      <c r="AA472" s="215"/>
      <c r="AB472" s="215"/>
      <c r="AC472" s="215"/>
      <c r="AD472" s="215"/>
      <c r="AE472" s="215"/>
      <c r="AF472" s="215"/>
      <c r="AG472" s="215"/>
      <c r="AH472" s="215"/>
    </row>
    <row r="473" spans="15:34" ht="12"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15"/>
      <c r="Z473" s="215"/>
      <c r="AA473" s="215"/>
      <c r="AB473" s="215"/>
      <c r="AC473" s="215"/>
      <c r="AD473" s="215"/>
      <c r="AE473" s="215"/>
      <c r="AF473" s="215"/>
      <c r="AG473" s="215"/>
      <c r="AH473" s="215"/>
    </row>
    <row r="474" spans="15:34" ht="12">
      <c r="O474" s="215"/>
      <c r="P474" s="215"/>
      <c r="Q474" s="215"/>
      <c r="R474" s="215"/>
      <c r="S474" s="215"/>
      <c r="T474" s="215"/>
      <c r="U474" s="215"/>
      <c r="V474" s="215"/>
      <c r="W474" s="215"/>
      <c r="X474" s="215"/>
      <c r="Y474" s="215"/>
      <c r="Z474" s="215"/>
      <c r="AA474" s="215"/>
      <c r="AB474" s="215"/>
      <c r="AC474" s="215"/>
      <c r="AD474" s="215"/>
      <c r="AE474" s="215"/>
      <c r="AF474" s="215"/>
      <c r="AG474" s="215"/>
      <c r="AH474" s="215"/>
    </row>
    <row r="475" spans="15:34" ht="12">
      <c r="O475" s="215"/>
      <c r="P475" s="215"/>
      <c r="Q475" s="215"/>
      <c r="R475" s="215"/>
      <c r="S475" s="215"/>
      <c r="T475" s="215"/>
      <c r="U475" s="215"/>
      <c r="V475" s="215"/>
      <c r="W475" s="215"/>
      <c r="X475" s="215"/>
      <c r="Y475" s="215"/>
      <c r="Z475" s="215"/>
      <c r="AA475" s="215"/>
      <c r="AB475" s="215"/>
      <c r="AC475" s="215"/>
      <c r="AD475" s="215"/>
      <c r="AE475" s="215"/>
      <c r="AF475" s="215"/>
      <c r="AG475" s="215"/>
      <c r="AH475" s="215"/>
    </row>
    <row r="476" spans="15:34" ht="12"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15"/>
      <c r="Z476" s="215"/>
      <c r="AA476" s="215"/>
      <c r="AB476" s="215"/>
      <c r="AC476" s="215"/>
      <c r="AD476" s="215"/>
      <c r="AE476" s="215"/>
      <c r="AF476" s="215"/>
      <c r="AG476" s="215"/>
      <c r="AH476" s="215"/>
    </row>
    <row r="477" spans="15:34" ht="12"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</row>
    <row r="478" spans="15:34" ht="12"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</row>
    <row r="479" spans="15:34" ht="12"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</row>
    <row r="480" spans="15:34" ht="12">
      <c r="O480" s="215"/>
      <c r="P480" s="215"/>
      <c r="Q480" s="215"/>
      <c r="R480" s="215"/>
      <c r="S480" s="215"/>
      <c r="T480" s="215"/>
      <c r="U480" s="215"/>
      <c r="V480" s="215"/>
      <c r="W480" s="215"/>
      <c r="X480" s="215"/>
      <c r="Y480" s="215"/>
      <c r="Z480" s="215"/>
      <c r="AA480" s="215"/>
      <c r="AB480" s="215"/>
      <c r="AC480" s="215"/>
      <c r="AD480" s="215"/>
      <c r="AE480" s="215"/>
      <c r="AF480" s="215"/>
      <c r="AG480" s="215"/>
      <c r="AH480" s="215"/>
    </row>
    <row r="481" spans="15:34" ht="12">
      <c r="O481" s="215"/>
      <c r="P481" s="215"/>
      <c r="Q481" s="215"/>
      <c r="R481" s="215"/>
      <c r="S481" s="215"/>
      <c r="T481" s="215"/>
      <c r="U481" s="215"/>
      <c r="V481" s="215"/>
      <c r="W481" s="215"/>
      <c r="X481" s="215"/>
      <c r="Y481" s="215"/>
      <c r="Z481" s="215"/>
      <c r="AA481" s="215"/>
      <c r="AB481" s="215"/>
      <c r="AC481" s="215"/>
      <c r="AD481" s="215"/>
      <c r="AE481" s="215"/>
      <c r="AF481" s="215"/>
      <c r="AG481" s="215"/>
      <c r="AH481" s="215"/>
    </row>
    <row r="482" spans="15:34" ht="12">
      <c r="O482" s="215"/>
      <c r="P482" s="215"/>
      <c r="Q482" s="215"/>
      <c r="R482" s="215"/>
      <c r="S482" s="215"/>
      <c r="T482" s="215"/>
      <c r="U482" s="215"/>
      <c r="V482" s="215"/>
      <c r="W482" s="215"/>
      <c r="X482" s="215"/>
      <c r="Y482" s="215"/>
      <c r="Z482" s="215"/>
      <c r="AA482" s="215"/>
      <c r="AB482" s="215"/>
      <c r="AC482" s="215"/>
      <c r="AD482" s="215"/>
      <c r="AE482" s="215"/>
      <c r="AF482" s="215"/>
      <c r="AG482" s="215"/>
      <c r="AH482" s="215"/>
    </row>
    <row r="483" spans="15:34" ht="12">
      <c r="O483" s="215"/>
      <c r="P483" s="215"/>
      <c r="Q483" s="215"/>
      <c r="R483" s="215"/>
      <c r="S483" s="215"/>
      <c r="T483" s="215"/>
      <c r="U483" s="215"/>
      <c r="V483" s="215"/>
      <c r="W483" s="215"/>
      <c r="X483" s="215"/>
      <c r="Y483" s="215"/>
      <c r="Z483" s="215"/>
      <c r="AA483" s="215"/>
      <c r="AB483" s="215"/>
      <c r="AC483" s="215"/>
      <c r="AD483" s="215"/>
      <c r="AE483" s="215"/>
      <c r="AF483" s="215"/>
      <c r="AG483" s="215"/>
      <c r="AH483" s="215"/>
    </row>
    <row r="484" spans="15:34" ht="12">
      <c r="O484" s="215"/>
      <c r="P484" s="215"/>
      <c r="Q484" s="215"/>
      <c r="R484" s="215"/>
      <c r="S484" s="215"/>
      <c r="T484" s="215"/>
      <c r="U484" s="215"/>
      <c r="V484" s="215"/>
      <c r="W484" s="215"/>
      <c r="X484" s="215"/>
      <c r="Y484" s="215"/>
      <c r="Z484" s="215"/>
      <c r="AA484" s="215"/>
      <c r="AB484" s="215"/>
      <c r="AC484" s="215"/>
      <c r="AD484" s="215"/>
      <c r="AE484" s="215"/>
      <c r="AF484" s="215"/>
      <c r="AG484" s="215"/>
      <c r="AH484" s="215"/>
    </row>
    <row r="485" spans="15:34" ht="12">
      <c r="O485" s="215"/>
      <c r="P485" s="215"/>
      <c r="Q485" s="215"/>
      <c r="R485" s="215"/>
      <c r="S485" s="215"/>
      <c r="T485" s="215"/>
      <c r="U485" s="215"/>
      <c r="V485" s="215"/>
      <c r="W485" s="215"/>
      <c r="X485" s="215"/>
      <c r="Y485" s="215"/>
      <c r="Z485" s="215"/>
      <c r="AA485" s="215"/>
      <c r="AB485" s="215"/>
      <c r="AC485" s="215"/>
      <c r="AD485" s="215"/>
      <c r="AE485" s="215"/>
      <c r="AF485" s="215"/>
      <c r="AG485" s="215"/>
      <c r="AH485" s="215"/>
    </row>
    <row r="486" spans="15:34" ht="12">
      <c r="O486" s="215"/>
      <c r="P486" s="215"/>
      <c r="Q486" s="215"/>
      <c r="R486" s="215"/>
      <c r="S486" s="215"/>
      <c r="T486" s="215"/>
      <c r="U486" s="215"/>
      <c r="V486" s="215"/>
      <c r="W486" s="215"/>
      <c r="X486" s="215"/>
      <c r="Y486" s="215"/>
      <c r="Z486" s="215"/>
      <c r="AA486" s="215"/>
      <c r="AB486" s="215"/>
      <c r="AC486" s="215"/>
      <c r="AD486" s="215"/>
      <c r="AE486" s="215"/>
      <c r="AF486" s="215"/>
      <c r="AG486" s="215"/>
      <c r="AH486" s="215"/>
    </row>
    <row r="487" spans="15:34" ht="12">
      <c r="O487" s="215"/>
      <c r="P487" s="215"/>
      <c r="Q487" s="215"/>
      <c r="R487" s="215"/>
      <c r="S487" s="215"/>
      <c r="T487" s="215"/>
      <c r="U487" s="215"/>
      <c r="V487" s="215"/>
      <c r="W487" s="215"/>
      <c r="X487" s="215"/>
      <c r="Y487" s="215"/>
      <c r="Z487" s="215"/>
      <c r="AA487" s="215"/>
      <c r="AB487" s="215"/>
      <c r="AC487" s="215"/>
      <c r="AD487" s="215"/>
      <c r="AE487" s="215"/>
      <c r="AF487" s="215"/>
      <c r="AG487" s="215"/>
      <c r="AH487" s="215"/>
    </row>
    <row r="488" spans="15:34" ht="12">
      <c r="O488" s="215"/>
      <c r="P488" s="215"/>
      <c r="Q488" s="215"/>
      <c r="R488" s="215"/>
      <c r="S488" s="215"/>
      <c r="T488" s="215"/>
      <c r="U488" s="215"/>
      <c r="V488" s="215"/>
      <c r="W488" s="215"/>
      <c r="X488" s="215"/>
      <c r="Y488" s="215"/>
      <c r="Z488" s="215"/>
      <c r="AA488" s="215"/>
      <c r="AB488" s="215"/>
      <c r="AC488" s="215"/>
      <c r="AD488" s="215"/>
      <c r="AE488" s="215"/>
      <c r="AF488" s="215"/>
      <c r="AG488" s="215"/>
      <c r="AH488" s="215"/>
    </row>
    <row r="489" spans="15:34" ht="12">
      <c r="O489" s="215"/>
      <c r="P489" s="215"/>
      <c r="Q489" s="215"/>
      <c r="R489" s="215"/>
      <c r="S489" s="215"/>
      <c r="T489" s="215"/>
      <c r="U489" s="215"/>
      <c r="V489" s="215"/>
      <c r="W489" s="215"/>
      <c r="X489" s="215"/>
      <c r="Y489" s="215"/>
      <c r="Z489" s="215"/>
      <c r="AA489" s="215"/>
      <c r="AB489" s="215"/>
      <c r="AC489" s="215"/>
      <c r="AD489" s="215"/>
      <c r="AE489" s="215"/>
      <c r="AF489" s="215"/>
      <c r="AG489" s="215"/>
      <c r="AH489" s="215"/>
    </row>
    <row r="490" spans="15:34" ht="12">
      <c r="O490" s="215"/>
      <c r="P490" s="215"/>
      <c r="Q490" s="215"/>
      <c r="R490" s="215"/>
      <c r="S490" s="215"/>
      <c r="T490" s="215"/>
      <c r="U490" s="215"/>
      <c r="V490" s="215"/>
      <c r="W490" s="215"/>
      <c r="X490" s="215"/>
      <c r="Y490" s="215"/>
      <c r="Z490" s="215"/>
      <c r="AA490" s="215"/>
      <c r="AB490" s="215"/>
      <c r="AC490" s="215"/>
      <c r="AD490" s="215"/>
      <c r="AE490" s="215"/>
      <c r="AF490" s="215"/>
      <c r="AG490" s="215"/>
      <c r="AH490" s="215"/>
    </row>
    <row r="491" spans="15:34" ht="12">
      <c r="O491" s="215"/>
      <c r="P491" s="215"/>
      <c r="Q491" s="215"/>
      <c r="R491" s="215"/>
      <c r="S491" s="215"/>
      <c r="T491" s="215"/>
      <c r="U491" s="215"/>
      <c r="V491" s="215"/>
      <c r="W491" s="215"/>
      <c r="X491" s="215"/>
      <c r="Y491" s="215"/>
      <c r="Z491" s="215"/>
      <c r="AA491" s="215"/>
      <c r="AB491" s="215"/>
      <c r="AC491" s="215"/>
      <c r="AD491" s="215"/>
      <c r="AE491" s="215"/>
      <c r="AF491" s="215"/>
      <c r="AG491" s="215"/>
      <c r="AH491" s="215"/>
    </row>
    <row r="492" spans="15:34" ht="12">
      <c r="O492" s="215"/>
      <c r="P492" s="215"/>
      <c r="Q492" s="215"/>
      <c r="R492" s="215"/>
      <c r="S492" s="215"/>
      <c r="T492" s="215"/>
      <c r="U492" s="215"/>
      <c r="V492" s="215"/>
      <c r="W492" s="215"/>
      <c r="X492" s="215"/>
      <c r="Y492" s="215"/>
      <c r="Z492" s="215"/>
      <c r="AA492" s="215"/>
      <c r="AB492" s="215"/>
      <c r="AC492" s="215"/>
      <c r="AD492" s="215"/>
      <c r="AE492" s="215"/>
      <c r="AF492" s="215"/>
      <c r="AG492" s="215"/>
      <c r="AH492" s="215"/>
    </row>
    <row r="493" spans="15:34" ht="12">
      <c r="O493" s="215"/>
      <c r="P493" s="215"/>
      <c r="Q493" s="215"/>
      <c r="R493" s="215"/>
      <c r="S493" s="215"/>
      <c r="T493" s="215"/>
      <c r="U493" s="215"/>
      <c r="V493" s="215"/>
      <c r="W493" s="215"/>
      <c r="X493" s="215"/>
      <c r="Y493" s="215"/>
      <c r="Z493" s="215"/>
      <c r="AA493" s="215"/>
      <c r="AB493" s="215"/>
      <c r="AC493" s="215"/>
      <c r="AD493" s="215"/>
      <c r="AE493" s="215"/>
      <c r="AF493" s="215"/>
      <c r="AG493" s="215"/>
      <c r="AH493" s="215"/>
    </row>
    <row r="494" spans="15:34" ht="12">
      <c r="O494" s="215"/>
      <c r="P494" s="215"/>
      <c r="Q494" s="215"/>
      <c r="R494" s="215"/>
      <c r="S494" s="215"/>
      <c r="T494" s="215"/>
      <c r="U494" s="215"/>
      <c r="V494" s="215"/>
      <c r="W494" s="215"/>
      <c r="X494" s="215"/>
      <c r="Y494" s="215"/>
      <c r="Z494" s="215"/>
      <c r="AA494" s="215"/>
      <c r="AB494" s="215"/>
      <c r="AC494" s="215"/>
      <c r="AD494" s="215"/>
      <c r="AE494" s="215"/>
      <c r="AF494" s="215"/>
      <c r="AG494" s="215"/>
      <c r="AH494" s="215"/>
    </row>
    <row r="495" spans="15:34" ht="12">
      <c r="O495" s="215"/>
      <c r="P495" s="215"/>
      <c r="Q495" s="215"/>
      <c r="R495" s="215"/>
      <c r="S495" s="215"/>
      <c r="T495" s="215"/>
      <c r="U495" s="215"/>
      <c r="V495" s="215"/>
      <c r="W495" s="215"/>
      <c r="X495" s="215"/>
      <c r="Y495" s="215"/>
      <c r="Z495" s="215"/>
      <c r="AA495" s="215"/>
      <c r="AB495" s="215"/>
      <c r="AC495" s="215"/>
      <c r="AD495" s="215"/>
      <c r="AE495" s="215"/>
      <c r="AF495" s="215"/>
      <c r="AG495" s="215"/>
      <c r="AH495" s="215"/>
    </row>
    <row r="496" spans="15:34" ht="12">
      <c r="O496" s="215"/>
      <c r="P496" s="215"/>
      <c r="Q496" s="215"/>
      <c r="R496" s="215"/>
      <c r="S496" s="215"/>
      <c r="T496" s="215"/>
      <c r="U496" s="215"/>
      <c r="V496" s="215"/>
      <c r="W496" s="215"/>
      <c r="X496" s="215"/>
      <c r="Y496" s="215"/>
      <c r="Z496" s="215"/>
      <c r="AA496" s="215"/>
      <c r="AB496" s="215"/>
      <c r="AC496" s="215"/>
      <c r="AD496" s="215"/>
      <c r="AE496" s="215"/>
      <c r="AF496" s="215"/>
      <c r="AG496" s="215"/>
      <c r="AH496" s="215"/>
    </row>
    <row r="497" spans="15:34" ht="12">
      <c r="O497" s="215"/>
      <c r="P497" s="215"/>
      <c r="Q497" s="215"/>
      <c r="R497" s="215"/>
      <c r="S497" s="215"/>
      <c r="T497" s="215"/>
      <c r="U497" s="215"/>
      <c r="V497" s="215"/>
      <c r="W497" s="215"/>
      <c r="X497" s="215"/>
      <c r="Y497" s="215"/>
      <c r="Z497" s="215"/>
      <c r="AA497" s="215"/>
      <c r="AB497" s="215"/>
      <c r="AC497" s="215"/>
      <c r="AD497" s="215"/>
      <c r="AE497" s="215"/>
      <c r="AF497" s="215"/>
      <c r="AG497" s="215"/>
      <c r="AH497" s="215"/>
    </row>
    <row r="498" spans="15:34" ht="12">
      <c r="O498" s="215"/>
      <c r="P498" s="215"/>
      <c r="Q498" s="215"/>
      <c r="R498" s="215"/>
      <c r="S498" s="215"/>
      <c r="T498" s="215"/>
      <c r="U498" s="215"/>
      <c r="V498" s="215"/>
      <c r="W498" s="215"/>
      <c r="X498" s="215"/>
      <c r="Y498" s="215"/>
      <c r="Z498" s="215"/>
      <c r="AA498" s="215"/>
      <c r="AB498" s="215"/>
      <c r="AC498" s="215"/>
      <c r="AD498" s="215"/>
      <c r="AE498" s="215"/>
      <c r="AF498" s="215"/>
      <c r="AG498" s="215"/>
      <c r="AH498" s="215"/>
    </row>
    <row r="499" spans="15:34" ht="12">
      <c r="O499" s="215"/>
      <c r="P499" s="215"/>
      <c r="Q499" s="215"/>
      <c r="R499" s="215"/>
      <c r="S499" s="215"/>
      <c r="T499" s="215"/>
      <c r="U499" s="215"/>
      <c r="V499" s="215"/>
      <c r="W499" s="215"/>
      <c r="X499" s="215"/>
      <c r="Y499" s="215"/>
      <c r="Z499" s="215"/>
      <c r="AA499" s="215"/>
      <c r="AB499" s="215"/>
      <c r="AC499" s="215"/>
      <c r="AD499" s="215"/>
      <c r="AE499" s="215"/>
      <c r="AF499" s="215"/>
      <c r="AG499" s="215"/>
      <c r="AH499" s="215"/>
    </row>
    <row r="500" spans="15:34" ht="12">
      <c r="O500" s="215"/>
      <c r="P500" s="215"/>
      <c r="Q500" s="215"/>
      <c r="R500" s="215"/>
      <c r="S500" s="215"/>
      <c r="T500" s="215"/>
      <c r="U500" s="215"/>
      <c r="V500" s="215"/>
      <c r="W500" s="215"/>
      <c r="X500" s="215"/>
      <c r="Y500" s="215"/>
      <c r="Z500" s="215"/>
      <c r="AA500" s="215"/>
      <c r="AB500" s="215"/>
      <c r="AC500" s="215"/>
      <c r="AD500" s="215"/>
      <c r="AE500" s="215"/>
      <c r="AF500" s="215"/>
      <c r="AG500" s="215"/>
      <c r="AH500" s="215"/>
    </row>
    <row r="501" spans="15:34" ht="12">
      <c r="O501" s="215"/>
      <c r="P501" s="215"/>
      <c r="Q501" s="215"/>
      <c r="R501" s="215"/>
      <c r="S501" s="215"/>
      <c r="T501" s="215"/>
      <c r="U501" s="215"/>
      <c r="V501" s="215"/>
      <c r="W501" s="215"/>
      <c r="X501" s="215"/>
      <c r="Y501" s="215"/>
      <c r="Z501" s="215"/>
      <c r="AA501" s="215"/>
      <c r="AB501" s="215"/>
      <c r="AC501" s="215"/>
      <c r="AD501" s="215"/>
      <c r="AE501" s="215"/>
      <c r="AF501" s="215"/>
      <c r="AG501" s="215"/>
      <c r="AH501" s="215"/>
    </row>
    <row r="502" spans="15:34" ht="12">
      <c r="O502" s="215"/>
      <c r="P502" s="215"/>
      <c r="Q502" s="215"/>
      <c r="R502" s="215"/>
      <c r="S502" s="215"/>
      <c r="T502" s="215"/>
      <c r="U502" s="215"/>
      <c r="V502" s="215"/>
      <c r="W502" s="215"/>
      <c r="X502" s="215"/>
      <c r="Y502" s="215"/>
      <c r="Z502" s="215"/>
      <c r="AA502" s="215"/>
      <c r="AB502" s="215"/>
      <c r="AC502" s="215"/>
      <c r="AD502" s="215"/>
      <c r="AE502" s="215"/>
      <c r="AF502" s="215"/>
      <c r="AG502" s="215"/>
      <c r="AH502" s="215"/>
    </row>
    <row r="503" spans="15:34" ht="12">
      <c r="O503" s="215"/>
      <c r="P503" s="215"/>
      <c r="Q503" s="215"/>
      <c r="R503" s="215"/>
      <c r="S503" s="215"/>
      <c r="T503" s="215"/>
      <c r="U503" s="215"/>
      <c r="V503" s="215"/>
      <c r="W503" s="215"/>
      <c r="X503" s="215"/>
      <c r="Y503" s="215"/>
      <c r="Z503" s="215"/>
      <c r="AA503" s="215"/>
      <c r="AB503" s="215"/>
      <c r="AC503" s="215"/>
      <c r="AD503" s="215"/>
      <c r="AE503" s="215"/>
      <c r="AF503" s="215"/>
      <c r="AG503" s="215"/>
      <c r="AH503" s="215"/>
    </row>
    <row r="504" spans="15:34" ht="12">
      <c r="O504" s="215"/>
      <c r="P504" s="215"/>
      <c r="Q504" s="215"/>
      <c r="R504" s="215"/>
      <c r="S504" s="215"/>
      <c r="T504" s="215"/>
      <c r="U504" s="215"/>
      <c r="V504" s="215"/>
      <c r="W504" s="215"/>
      <c r="X504" s="215"/>
      <c r="Y504" s="215"/>
      <c r="Z504" s="215"/>
      <c r="AA504" s="215"/>
      <c r="AB504" s="215"/>
      <c r="AC504" s="215"/>
      <c r="AD504" s="215"/>
      <c r="AE504" s="215"/>
      <c r="AF504" s="215"/>
      <c r="AG504" s="215"/>
      <c r="AH504" s="215"/>
    </row>
    <row r="505" spans="15:34" ht="12">
      <c r="O505" s="215"/>
      <c r="P505" s="215"/>
      <c r="Q505" s="215"/>
      <c r="R505" s="215"/>
      <c r="S505" s="215"/>
      <c r="T505" s="215"/>
      <c r="U505" s="215"/>
      <c r="V505" s="215"/>
      <c r="W505" s="215"/>
      <c r="X505" s="215"/>
      <c r="Y505" s="215"/>
      <c r="Z505" s="215"/>
      <c r="AA505" s="215"/>
      <c r="AB505" s="215"/>
      <c r="AC505" s="215"/>
      <c r="AD505" s="215"/>
      <c r="AE505" s="215"/>
      <c r="AF505" s="215"/>
      <c r="AG505" s="215"/>
      <c r="AH505" s="215"/>
    </row>
    <row r="506" spans="15:34" ht="12">
      <c r="O506" s="215"/>
      <c r="P506" s="215"/>
      <c r="Q506" s="215"/>
      <c r="R506" s="215"/>
      <c r="S506" s="215"/>
      <c r="T506" s="215"/>
      <c r="U506" s="215"/>
      <c r="V506" s="215"/>
      <c r="W506" s="215"/>
      <c r="X506" s="215"/>
      <c r="Y506" s="215"/>
      <c r="Z506" s="215"/>
      <c r="AA506" s="215"/>
      <c r="AB506" s="215"/>
      <c r="AC506" s="215"/>
      <c r="AD506" s="215"/>
      <c r="AE506" s="215"/>
      <c r="AF506" s="215"/>
      <c r="AG506" s="215"/>
      <c r="AH506" s="215"/>
    </row>
    <row r="507" spans="15:34" ht="12">
      <c r="O507" s="215"/>
      <c r="P507" s="215"/>
      <c r="Q507" s="215"/>
      <c r="R507" s="215"/>
      <c r="S507" s="215"/>
      <c r="T507" s="215"/>
      <c r="U507" s="215"/>
      <c r="V507" s="215"/>
      <c r="W507" s="215"/>
      <c r="X507" s="215"/>
      <c r="Y507" s="215"/>
      <c r="Z507" s="215"/>
      <c r="AA507" s="215"/>
      <c r="AB507" s="215"/>
      <c r="AC507" s="215"/>
      <c r="AD507" s="215"/>
      <c r="AE507" s="215"/>
      <c r="AF507" s="215"/>
      <c r="AG507" s="215"/>
      <c r="AH507" s="215"/>
    </row>
    <row r="508" spans="15:34" ht="12">
      <c r="O508" s="215"/>
      <c r="P508" s="215"/>
      <c r="Q508" s="215"/>
      <c r="R508" s="215"/>
      <c r="S508" s="215"/>
      <c r="T508" s="215"/>
      <c r="U508" s="215"/>
      <c r="V508" s="215"/>
      <c r="W508" s="215"/>
      <c r="X508" s="215"/>
      <c r="Y508" s="215"/>
      <c r="Z508" s="215"/>
      <c r="AA508" s="215"/>
      <c r="AB508" s="215"/>
      <c r="AC508" s="215"/>
      <c r="AD508" s="215"/>
      <c r="AE508" s="215"/>
      <c r="AF508" s="215"/>
      <c r="AG508" s="215"/>
      <c r="AH508" s="215"/>
    </row>
    <row r="509" spans="15:34" ht="12"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15"/>
      <c r="Z509" s="215"/>
      <c r="AA509" s="215"/>
      <c r="AB509" s="215"/>
      <c r="AC509" s="215"/>
      <c r="AD509" s="215"/>
      <c r="AE509" s="215"/>
      <c r="AF509" s="215"/>
      <c r="AG509" s="215"/>
      <c r="AH509" s="215"/>
    </row>
    <row r="510" spans="15:34" ht="12"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  <c r="AA510" s="215"/>
      <c r="AB510" s="215"/>
      <c r="AC510" s="215"/>
      <c r="AD510" s="215"/>
      <c r="AE510" s="215"/>
      <c r="AF510" s="215"/>
      <c r="AG510" s="215"/>
      <c r="AH510" s="215"/>
    </row>
    <row r="511" spans="15:34" ht="12"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15"/>
      <c r="Z511" s="215"/>
      <c r="AA511" s="215"/>
      <c r="AB511" s="215"/>
      <c r="AC511" s="215"/>
      <c r="AD511" s="215"/>
      <c r="AE511" s="215"/>
      <c r="AF511" s="215"/>
      <c r="AG511" s="215"/>
      <c r="AH511" s="215"/>
    </row>
    <row r="512" spans="15:34" ht="12"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  <c r="AD512" s="215"/>
      <c r="AE512" s="215"/>
      <c r="AF512" s="215"/>
      <c r="AG512" s="215"/>
      <c r="AH512" s="215"/>
    </row>
    <row r="513" spans="15:34" ht="12"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15"/>
      <c r="Z513" s="215"/>
      <c r="AA513" s="215"/>
      <c r="AB513" s="215"/>
      <c r="AC513" s="215"/>
      <c r="AD513" s="215"/>
      <c r="AE513" s="215"/>
      <c r="AF513" s="215"/>
      <c r="AG513" s="215"/>
      <c r="AH513" s="215"/>
    </row>
    <row r="514" spans="15:34" ht="12"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15"/>
      <c r="Z514" s="215"/>
      <c r="AA514" s="215"/>
      <c r="AB514" s="215"/>
      <c r="AC514" s="215"/>
      <c r="AD514" s="215"/>
      <c r="AE514" s="215"/>
      <c r="AF514" s="215"/>
      <c r="AG514" s="215"/>
      <c r="AH514" s="215"/>
    </row>
    <row r="515" spans="15:34" ht="12">
      <c r="O515" s="215"/>
      <c r="P515" s="215"/>
      <c r="Q515" s="215"/>
      <c r="R515" s="215"/>
      <c r="S515" s="215"/>
      <c r="T515" s="215"/>
      <c r="U515" s="215"/>
      <c r="V515" s="215"/>
      <c r="W515" s="215"/>
      <c r="X515" s="215"/>
      <c r="Y515" s="215"/>
      <c r="Z515" s="215"/>
      <c r="AA515" s="215"/>
      <c r="AB515" s="215"/>
      <c r="AC515" s="215"/>
      <c r="AD515" s="215"/>
      <c r="AE515" s="215"/>
      <c r="AF515" s="215"/>
      <c r="AG515" s="215"/>
      <c r="AH515" s="215"/>
    </row>
    <row r="516" spans="15:34" ht="12"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5"/>
      <c r="AD516" s="215"/>
      <c r="AE516" s="215"/>
      <c r="AF516" s="215"/>
      <c r="AG516" s="215"/>
      <c r="AH516" s="215"/>
    </row>
    <row r="517" spans="15:34" ht="12"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15"/>
      <c r="Z517" s="215"/>
      <c r="AA517" s="215"/>
      <c r="AB517" s="215"/>
      <c r="AC517" s="215"/>
      <c r="AD517" s="215"/>
      <c r="AE517" s="215"/>
      <c r="AF517" s="215"/>
      <c r="AG517" s="215"/>
      <c r="AH517" s="215"/>
    </row>
    <row r="518" spans="15:34" ht="12"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15"/>
      <c r="Z518" s="215"/>
      <c r="AA518" s="215"/>
      <c r="AB518" s="215"/>
      <c r="AC518" s="215"/>
      <c r="AD518" s="215"/>
      <c r="AE518" s="215"/>
      <c r="AF518" s="215"/>
      <c r="AG518" s="215"/>
      <c r="AH518" s="215"/>
    </row>
    <row r="519" spans="15:34" ht="12">
      <c r="O519" s="215"/>
      <c r="P519" s="215"/>
      <c r="Q519" s="215"/>
      <c r="R519" s="215"/>
      <c r="S519" s="215"/>
      <c r="T519" s="215"/>
      <c r="U519" s="215"/>
      <c r="V519" s="215"/>
      <c r="W519" s="215"/>
      <c r="X519" s="215"/>
      <c r="Y519" s="215"/>
      <c r="Z519" s="215"/>
      <c r="AA519" s="215"/>
      <c r="AB519" s="215"/>
      <c r="AC519" s="215"/>
      <c r="AD519" s="215"/>
      <c r="AE519" s="215"/>
      <c r="AF519" s="215"/>
      <c r="AG519" s="215"/>
      <c r="AH519" s="215"/>
    </row>
    <row r="520" spans="15:34" ht="12">
      <c r="O520" s="215"/>
      <c r="P520" s="215"/>
      <c r="Q520" s="215"/>
      <c r="R520" s="215"/>
      <c r="S520" s="215"/>
      <c r="T520" s="215"/>
      <c r="U520" s="215"/>
      <c r="V520" s="215"/>
      <c r="W520" s="215"/>
      <c r="X520" s="215"/>
      <c r="Y520" s="215"/>
      <c r="Z520" s="215"/>
      <c r="AA520" s="215"/>
      <c r="AB520" s="215"/>
      <c r="AC520" s="215"/>
      <c r="AD520" s="215"/>
      <c r="AE520" s="215"/>
      <c r="AF520" s="215"/>
      <c r="AG520" s="215"/>
      <c r="AH520" s="215"/>
    </row>
    <row r="521" spans="15:34" ht="12">
      <c r="O521" s="215"/>
      <c r="P521" s="215"/>
      <c r="Q521" s="215"/>
      <c r="R521" s="215"/>
      <c r="S521" s="215"/>
      <c r="T521" s="215"/>
      <c r="U521" s="215"/>
      <c r="V521" s="215"/>
      <c r="W521" s="215"/>
      <c r="X521" s="215"/>
      <c r="Y521" s="215"/>
      <c r="Z521" s="215"/>
      <c r="AA521" s="215"/>
      <c r="AB521" s="215"/>
      <c r="AC521" s="215"/>
      <c r="AD521" s="215"/>
      <c r="AE521" s="215"/>
      <c r="AF521" s="215"/>
      <c r="AG521" s="215"/>
      <c r="AH521" s="215"/>
    </row>
    <row r="522" spans="15:34" ht="12">
      <c r="O522" s="215"/>
      <c r="P522" s="215"/>
      <c r="Q522" s="215"/>
      <c r="R522" s="215"/>
      <c r="S522" s="215"/>
      <c r="T522" s="215"/>
      <c r="U522" s="215"/>
      <c r="V522" s="215"/>
      <c r="W522" s="215"/>
      <c r="X522" s="215"/>
      <c r="Y522" s="215"/>
      <c r="Z522" s="215"/>
      <c r="AA522" s="215"/>
      <c r="AB522" s="215"/>
      <c r="AC522" s="215"/>
      <c r="AD522" s="215"/>
      <c r="AE522" s="215"/>
      <c r="AF522" s="215"/>
      <c r="AG522" s="215"/>
      <c r="AH522" s="215"/>
    </row>
    <row r="523" spans="15:34" ht="12">
      <c r="O523" s="215"/>
      <c r="P523" s="215"/>
      <c r="Q523" s="215"/>
      <c r="R523" s="215"/>
      <c r="S523" s="215"/>
      <c r="T523" s="215"/>
      <c r="U523" s="215"/>
      <c r="V523" s="215"/>
      <c r="W523" s="215"/>
      <c r="X523" s="215"/>
      <c r="Y523" s="215"/>
      <c r="Z523" s="215"/>
      <c r="AA523" s="215"/>
      <c r="AB523" s="215"/>
      <c r="AC523" s="215"/>
      <c r="AD523" s="215"/>
      <c r="AE523" s="215"/>
      <c r="AF523" s="215"/>
      <c r="AG523" s="215"/>
      <c r="AH523" s="215"/>
    </row>
    <row r="524" spans="15:34" ht="12">
      <c r="O524" s="215"/>
      <c r="P524" s="215"/>
      <c r="Q524" s="215"/>
      <c r="R524" s="215"/>
      <c r="S524" s="215"/>
      <c r="T524" s="215"/>
      <c r="U524" s="215"/>
      <c r="V524" s="215"/>
      <c r="W524" s="215"/>
      <c r="X524" s="215"/>
      <c r="Y524" s="215"/>
      <c r="Z524" s="215"/>
      <c r="AA524" s="215"/>
      <c r="AB524" s="215"/>
      <c r="AC524" s="215"/>
      <c r="AD524" s="215"/>
      <c r="AE524" s="215"/>
      <c r="AF524" s="215"/>
      <c r="AG524" s="215"/>
      <c r="AH524" s="215"/>
    </row>
    <row r="525" spans="15:34" ht="12">
      <c r="O525" s="215"/>
      <c r="P525" s="215"/>
      <c r="Q525" s="215"/>
      <c r="R525" s="215"/>
      <c r="S525" s="215"/>
      <c r="T525" s="215"/>
      <c r="U525" s="215"/>
      <c r="V525" s="215"/>
      <c r="W525" s="215"/>
      <c r="X525" s="215"/>
      <c r="Y525" s="215"/>
      <c r="Z525" s="215"/>
      <c r="AA525" s="215"/>
      <c r="AB525" s="215"/>
      <c r="AC525" s="215"/>
      <c r="AD525" s="215"/>
      <c r="AE525" s="215"/>
      <c r="AF525" s="215"/>
      <c r="AG525" s="215"/>
      <c r="AH525" s="215"/>
    </row>
    <row r="526" spans="15:34" ht="12">
      <c r="O526" s="215"/>
      <c r="P526" s="215"/>
      <c r="Q526" s="215"/>
      <c r="R526" s="215"/>
      <c r="S526" s="215"/>
      <c r="T526" s="215"/>
      <c r="U526" s="215"/>
      <c r="V526" s="215"/>
      <c r="W526" s="215"/>
      <c r="X526" s="215"/>
      <c r="Y526" s="215"/>
      <c r="Z526" s="215"/>
      <c r="AA526" s="215"/>
      <c r="AB526" s="215"/>
      <c r="AC526" s="215"/>
      <c r="AD526" s="215"/>
      <c r="AE526" s="215"/>
      <c r="AF526" s="215"/>
      <c r="AG526" s="215"/>
      <c r="AH526" s="215"/>
    </row>
    <row r="527" spans="15:34" ht="12">
      <c r="O527" s="215"/>
      <c r="P527" s="215"/>
      <c r="Q527" s="215"/>
      <c r="R527" s="215"/>
      <c r="S527" s="215"/>
      <c r="T527" s="215"/>
      <c r="U527" s="215"/>
      <c r="V527" s="215"/>
      <c r="W527" s="215"/>
      <c r="X527" s="215"/>
      <c r="Y527" s="215"/>
      <c r="Z527" s="215"/>
      <c r="AA527" s="215"/>
      <c r="AB527" s="215"/>
      <c r="AC527" s="215"/>
      <c r="AD527" s="215"/>
      <c r="AE527" s="215"/>
      <c r="AF527" s="215"/>
      <c r="AG527" s="215"/>
      <c r="AH527" s="215"/>
    </row>
    <row r="528" spans="15:34" ht="12">
      <c r="O528" s="215"/>
      <c r="P528" s="215"/>
      <c r="Q528" s="215"/>
      <c r="R528" s="215"/>
      <c r="S528" s="215"/>
      <c r="T528" s="215"/>
      <c r="U528" s="215"/>
      <c r="V528" s="215"/>
      <c r="W528" s="215"/>
      <c r="X528" s="215"/>
      <c r="Y528" s="215"/>
      <c r="Z528" s="215"/>
      <c r="AA528" s="215"/>
      <c r="AB528" s="215"/>
      <c r="AC528" s="215"/>
      <c r="AD528" s="215"/>
      <c r="AE528" s="215"/>
      <c r="AF528" s="215"/>
      <c r="AG528" s="215"/>
      <c r="AH528" s="215"/>
    </row>
    <row r="529" spans="15:34" ht="12">
      <c r="O529" s="215"/>
      <c r="P529" s="215"/>
      <c r="Q529" s="215"/>
      <c r="R529" s="215"/>
      <c r="S529" s="215"/>
      <c r="T529" s="215"/>
      <c r="U529" s="215"/>
      <c r="V529" s="215"/>
      <c r="W529" s="215"/>
      <c r="X529" s="215"/>
      <c r="Y529" s="215"/>
      <c r="Z529" s="215"/>
      <c r="AA529" s="215"/>
      <c r="AB529" s="215"/>
      <c r="AC529" s="215"/>
      <c r="AD529" s="215"/>
      <c r="AE529" s="215"/>
      <c r="AF529" s="215"/>
      <c r="AG529" s="215"/>
      <c r="AH529" s="215"/>
    </row>
    <row r="530" spans="15:34" ht="12">
      <c r="O530" s="215"/>
      <c r="P530" s="215"/>
      <c r="Q530" s="215"/>
      <c r="R530" s="215"/>
      <c r="S530" s="215"/>
      <c r="T530" s="215"/>
      <c r="U530" s="215"/>
      <c r="V530" s="215"/>
      <c r="W530" s="215"/>
      <c r="X530" s="215"/>
      <c r="Y530" s="215"/>
      <c r="Z530" s="215"/>
      <c r="AA530" s="215"/>
      <c r="AB530" s="215"/>
      <c r="AC530" s="215"/>
      <c r="AD530" s="215"/>
      <c r="AE530" s="215"/>
      <c r="AF530" s="215"/>
      <c r="AG530" s="215"/>
      <c r="AH530" s="215"/>
    </row>
    <row r="531" spans="15:34" ht="12">
      <c r="O531" s="215"/>
      <c r="P531" s="215"/>
      <c r="Q531" s="215"/>
      <c r="R531" s="215"/>
      <c r="S531" s="215"/>
      <c r="T531" s="215"/>
      <c r="U531" s="215"/>
      <c r="V531" s="215"/>
      <c r="W531" s="215"/>
      <c r="X531" s="215"/>
      <c r="Y531" s="215"/>
      <c r="Z531" s="215"/>
      <c r="AA531" s="215"/>
      <c r="AB531" s="215"/>
      <c r="AC531" s="215"/>
      <c r="AD531" s="215"/>
      <c r="AE531" s="215"/>
      <c r="AF531" s="215"/>
      <c r="AG531" s="215"/>
      <c r="AH531" s="215"/>
    </row>
    <row r="532" spans="15:34" ht="12">
      <c r="O532" s="215"/>
      <c r="P532" s="215"/>
      <c r="Q532" s="215"/>
      <c r="R532" s="215"/>
      <c r="S532" s="215"/>
      <c r="T532" s="215"/>
      <c r="U532" s="215"/>
      <c r="V532" s="215"/>
      <c r="W532" s="215"/>
      <c r="X532" s="215"/>
      <c r="Y532" s="215"/>
      <c r="Z532" s="215"/>
      <c r="AA532" s="215"/>
      <c r="AB532" s="215"/>
      <c r="AC532" s="215"/>
      <c r="AD532" s="215"/>
      <c r="AE532" s="215"/>
      <c r="AF532" s="215"/>
      <c r="AG532" s="215"/>
      <c r="AH532" s="215"/>
    </row>
    <row r="533" spans="15:34" ht="12">
      <c r="O533" s="215"/>
      <c r="P533" s="215"/>
      <c r="Q533" s="215"/>
      <c r="R533" s="215"/>
      <c r="S533" s="215"/>
      <c r="T533" s="215"/>
      <c r="U533" s="215"/>
      <c r="V533" s="215"/>
      <c r="W533" s="215"/>
      <c r="X533" s="215"/>
      <c r="Y533" s="215"/>
      <c r="Z533" s="215"/>
      <c r="AA533" s="215"/>
      <c r="AB533" s="215"/>
      <c r="AC533" s="215"/>
      <c r="AD533" s="215"/>
      <c r="AE533" s="215"/>
      <c r="AF533" s="215"/>
      <c r="AG533" s="215"/>
      <c r="AH533" s="215"/>
    </row>
    <row r="534" spans="15:34" ht="12">
      <c r="O534" s="215"/>
      <c r="P534" s="215"/>
      <c r="Q534" s="215"/>
      <c r="R534" s="215"/>
      <c r="S534" s="215"/>
      <c r="T534" s="215"/>
      <c r="U534" s="215"/>
      <c r="V534" s="215"/>
      <c r="W534" s="215"/>
      <c r="X534" s="215"/>
      <c r="Y534" s="215"/>
      <c r="Z534" s="215"/>
      <c r="AA534" s="215"/>
      <c r="AB534" s="215"/>
      <c r="AC534" s="215"/>
      <c r="AD534" s="215"/>
      <c r="AE534" s="215"/>
      <c r="AF534" s="215"/>
      <c r="AG534" s="215"/>
      <c r="AH534" s="215"/>
    </row>
    <row r="535" spans="15:34" ht="12">
      <c r="O535" s="215"/>
      <c r="P535" s="215"/>
      <c r="Q535" s="215"/>
      <c r="R535" s="215"/>
      <c r="S535" s="215"/>
      <c r="T535" s="215"/>
      <c r="U535" s="215"/>
      <c r="V535" s="215"/>
      <c r="W535" s="215"/>
      <c r="X535" s="215"/>
      <c r="Y535" s="215"/>
      <c r="Z535" s="215"/>
      <c r="AA535" s="215"/>
      <c r="AB535" s="215"/>
      <c r="AC535" s="215"/>
      <c r="AD535" s="215"/>
      <c r="AE535" s="215"/>
      <c r="AF535" s="215"/>
      <c r="AG535" s="215"/>
      <c r="AH535" s="215"/>
    </row>
    <row r="536" spans="15:34" ht="12">
      <c r="O536" s="215"/>
      <c r="P536" s="215"/>
      <c r="Q536" s="215"/>
      <c r="R536" s="215"/>
      <c r="S536" s="215"/>
      <c r="T536" s="215"/>
      <c r="U536" s="215"/>
      <c r="V536" s="215"/>
      <c r="W536" s="215"/>
      <c r="X536" s="215"/>
      <c r="Y536" s="215"/>
      <c r="Z536" s="215"/>
      <c r="AA536" s="215"/>
      <c r="AB536" s="215"/>
      <c r="AC536" s="215"/>
      <c r="AD536" s="215"/>
      <c r="AE536" s="215"/>
      <c r="AF536" s="215"/>
      <c r="AG536" s="215"/>
      <c r="AH536" s="215"/>
    </row>
    <row r="537" spans="15:34" ht="12">
      <c r="O537" s="215"/>
      <c r="P537" s="215"/>
      <c r="Q537" s="215"/>
      <c r="R537" s="215"/>
      <c r="S537" s="215"/>
      <c r="T537" s="215"/>
      <c r="U537" s="215"/>
      <c r="V537" s="215"/>
      <c r="W537" s="215"/>
      <c r="X537" s="215"/>
      <c r="Y537" s="215"/>
      <c r="Z537" s="215"/>
      <c r="AA537" s="215"/>
      <c r="AB537" s="215"/>
      <c r="AC537" s="215"/>
      <c r="AD537" s="215"/>
      <c r="AE537" s="215"/>
      <c r="AF537" s="215"/>
      <c r="AG537" s="215"/>
      <c r="AH537" s="215"/>
    </row>
    <row r="538" spans="15:34" ht="12">
      <c r="O538" s="215"/>
      <c r="P538" s="215"/>
      <c r="Q538" s="215"/>
      <c r="R538" s="215"/>
      <c r="S538" s="215"/>
      <c r="T538" s="215"/>
      <c r="U538" s="215"/>
      <c r="V538" s="215"/>
      <c r="W538" s="215"/>
      <c r="X538" s="215"/>
      <c r="Y538" s="215"/>
      <c r="Z538" s="215"/>
      <c r="AA538" s="215"/>
      <c r="AB538" s="215"/>
      <c r="AC538" s="215"/>
      <c r="AD538" s="215"/>
      <c r="AE538" s="215"/>
      <c r="AF538" s="215"/>
      <c r="AG538" s="215"/>
      <c r="AH538" s="215"/>
    </row>
    <row r="539" spans="15:34" ht="12">
      <c r="O539" s="215"/>
      <c r="P539" s="215"/>
      <c r="Q539" s="215"/>
      <c r="R539" s="215"/>
      <c r="S539" s="215"/>
      <c r="T539" s="215"/>
      <c r="U539" s="215"/>
      <c r="V539" s="215"/>
      <c r="W539" s="215"/>
      <c r="X539" s="215"/>
      <c r="Y539" s="215"/>
      <c r="Z539" s="215"/>
      <c r="AA539" s="215"/>
      <c r="AB539" s="215"/>
      <c r="AC539" s="215"/>
      <c r="AD539" s="215"/>
      <c r="AE539" s="215"/>
      <c r="AF539" s="215"/>
      <c r="AG539" s="215"/>
      <c r="AH539" s="215"/>
    </row>
    <row r="540" spans="15:34" ht="12">
      <c r="O540" s="215"/>
      <c r="P540" s="215"/>
      <c r="Q540" s="215"/>
      <c r="R540" s="215"/>
      <c r="S540" s="215"/>
      <c r="T540" s="215"/>
      <c r="U540" s="215"/>
      <c r="V540" s="215"/>
      <c r="W540" s="215"/>
      <c r="X540" s="215"/>
      <c r="Y540" s="215"/>
      <c r="Z540" s="215"/>
      <c r="AA540" s="215"/>
      <c r="AB540" s="215"/>
      <c r="AC540" s="215"/>
      <c r="AD540" s="215"/>
      <c r="AE540" s="215"/>
      <c r="AF540" s="215"/>
      <c r="AG540" s="215"/>
      <c r="AH540" s="215"/>
    </row>
    <row r="541" spans="15:34" ht="12">
      <c r="O541" s="215"/>
      <c r="P541" s="215"/>
      <c r="Q541" s="215"/>
      <c r="R541" s="215"/>
      <c r="S541" s="215"/>
      <c r="T541" s="215"/>
      <c r="U541" s="215"/>
      <c r="V541" s="215"/>
      <c r="W541" s="215"/>
      <c r="X541" s="215"/>
      <c r="Y541" s="215"/>
      <c r="Z541" s="215"/>
      <c r="AA541" s="215"/>
      <c r="AB541" s="215"/>
      <c r="AC541" s="215"/>
      <c r="AD541" s="215"/>
      <c r="AE541" s="215"/>
      <c r="AF541" s="215"/>
      <c r="AG541" s="215"/>
      <c r="AH541" s="215"/>
    </row>
    <row r="542" spans="15:34" ht="12">
      <c r="O542" s="215"/>
      <c r="P542" s="215"/>
      <c r="Q542" s="215"/>
      <c r="R542" s="215"/>
      <c r="S542" s="215"/>
      <c r="T542" s="215"/>
      <c r="U542" s="215"/>
      <c r="V542" s="215"/>
      <c r="W542" s="215"/>
      <c r="X542" s="215"/>
      <c r="Y542" s="215"/>
      <c r="Z542" s="215"/>
      <c r="AA542" s="215"/>
      <c r="AB542" s="215"/>
      <c r="AC542" s="215"/>
      <c r="AD542" s="215"/>
      <c r="AE542" s="215"/>
      <c r="AF542" s="215"/>
      <c r="AG542" s="215"/>
      <c r="AH542" s="215"/>
    </row>
    <row r="543" spans="15:34" ht="12">
      <c r="O543" s="215"/>
      <c r="P543" s="215"/>
      <c r="Q543" s="215"/>
      <c r="R543" s="215"/>
      <c r="S543" s="215"/>
      <c r="T543" s="215"/>
      <c r="U543" s="215"/>
      <c r="V543" s="215"/>
      <c r="W543" s="215"/>
      <c r="X543" s="215"/>
      <c r="Y543" s="215"/>
      <c r="Z543" s="215"/>
      <c r="AA543" s="215"/>
      <c r="AB543" s="215"/>
      <c r="AC543" s="215"/>
      <c r="AD543" s="215"/>
      <c r="AE543" s="215"/>
      <c r="AF543" s="215"/>
      <c r="AG543" s="215"/>
      <c r="AH543" s="215"/>
    </row>
    <row r="544" spans="15:34" ht="12">
      <c r="O544" s="215"/>
      <c r="P544" s="215"/>
      <c r="Q544" s="215"/>
      <c r="R544" s="215"/>
      <c r="S544" s="215"/>
      <c r="T544" s="215"/>
      <c r="U544" s="215"/>
      <c r="V544" s="215"/>
      <c r="W544" s="215"/>
      <c r="X544" s="215"/>
      <c r="Y544" s="215"/>
      <c r="Z544" s="215"/>
      <c r="AA544" s="215"/>
      <c r="AB544" s="215"/>
      <c r="AC544" s="215"/>
      <c r="AD544" s="215"/>
      <c r="AE544" s="215"/>
      <c r="AF544" s="215"/>
      <c r="AG544" s="215"/>
      <c r="AH544" s="215"/>
    </row>
    <row r="545" spans="15:34" ht="12">
      <c r="O545" s="215"/>
      <c r="P545" s="215"/>
      <c r="Q545" s="215"/>
      <c r="R545" s="215"/>
      <c r="S545" s="215"/>
      <c r="T545" s="215"/>
      <c r="U545" s="215"/>
      <c r="V545" s="215"/>
      <c r="W545" s="215"/>
      <c r="X545" s="215"/>
      <c r="Y545" s="215"/>
      <c r="Z545" s="215"/>
      <c r="AA545" s="215"/>
      <c r="AB545" s="215"/>
      <c r="AC545" s="215"/>
      <c r="AD545" s="215"/>
      <c r="AE545" s="215"/>
      <c r="AF545" s="215"/>
      <c r="AG545" s="215"/>
      <c r="AH545" s="215"/>
    </row>
    <row r="546" spans="15:34" ht="12">
      <c r="O546" s="215"/>
      <c r="P546" s="215"/>
      <c r="Q546" s="215"/>
      <c r="R546" s="215"/>
      <c r="S546" s="215"/>
      <c r="T546" s="215"/>
      <c r="U546" s="215"/>
      <c r="V546" s="215"/>
      <c r="W546" s="215"/>
      <c r="X546" s="215"/>
      <c r="Y546" s="215"/>
      <c r="Z546" s="215"/>
      <c r="AA546" s="215"/>
      <c r="AB546" s="215"/>
      <c r="AC546" s="215"/>
      <c r="AD546" s="215"/>
      <c r="AE546" s="215"/>
      <c r="AF546" s="215"/>
      <c r="AG546" s="215"/>
      <c r="AH546" s="215"/>
    </row>
    <row r="547" spans="15:34" ht="12">
      <c r="O547" s="215"/>
      <c r="P547" s="215"/>
      <c r="Q547" s="215"/>
      <c r="R547" s="215"/>
      <c r="S547" s="215"/>
      <c r="T547" s="215"/>
      <c r="U547" s="215"/>
      <c r="V547" s="215"/>
      <c r="W547" s="215"/>
      <c r="X547" s="215"/>
      <c r="Y547" s="215"/>
      <c r="Z547" s="215"/>
      <c r="AA547" s="215"/>
      <c r="AB547" s="215"/>
      <c r="AC547" s="215"/>
      <c r="AD547" s="215"/>
      <c r="AE547" s="215"/>
      <c r="AF547" s="215"/>
      <c r="AG547" s="215"/>
      <c r="AH547" s="215"/>
    </row>
    <row r="548" spans="15:34" ht="12"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15"/>
      <c r="Z548" s="215"/>
      <c r="AA548" s="215"/>
      <c r="AB548" s="215"/>
      <c r="AC548" s="215"/>
      <c r="AD548" s="215"/>
      <c r="AE548" s="215"/>
      <c r="AF548" s="215"/>
      <c r="AG548" s="215"/>
      <c r="AH548" s="215"/>
    </row>
    <row r="549" spans="15:34" ht="12"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15"/>
      <c r="Z549" s="215"/>
      <c r="AA549" s="215"/>
      <c r="AB549" s="215"/>
      <c r="AC549" s="215"/>
      <c r="AD549" s="215"/>
      <c r="AE549" s="215"/>
      <c r="AF549" s="215"/>
      <c r="AG549" s="215"/>
      <c r="AH549" s="215"/>
    </row>
    <row r="550" spans="15:34" ht="12">
      <c r="O550" s="215"/>
      <c r="P550" s="215"/>
      <c r="Q550" s="215"/>
      <c r="R550" s="215"/>
      <c r="S550" s="215"/>
      <c r="T550" s="215"/>
      <c r="U550" s="215"/>
      <c r="V550" s="215"/>
      <c r="W550" s="215"/>
      <c r="X550" s="215"/>
      <c r="Y550" s="215"/>
      <c r="Z550" s="215"/>
      <c r="AA550" s="215"/>
      <c r="AB550" s="215"/>
      <c r="AC550" s="215"/>
      <c r="AD550" s="215"/>
      <c r="AE550" s="215"/>
      <c r="AF550" s="215"/>
      <c r="AG550" s="215"/>
      <c r="AH550" s="215"/>
    </row>
    <row r="551" spans="15:34" ht="12">
      <c r="O551" s="215"/>
      <c r="P551" s="215"/>
      <c r="Q551" s="215"/>
      <c r="R551" s="215"/>
      <c r="S551" s="215"/>
      <c r="T551" s="215"/>
      <c r="U551" s="215"/>
      <c r="V551" s="215"/>
      <c r="W551" s="215"/>
      <c r="X551" s="215"/>
      <c r="Y551" s="215"/>
      <c r="Z551" s="215"/>
      <c r="AA551" s="215"/>
      <c r="AB551" s="215"/>
      <c r="AC551" s="215"/>
      <c r="AD551" s="215"/>
      <c r="AE551" s="215"/>
      <c r="AF551" s="215"/>
      <c r="AG551" s="215"/>
      <c r="AH551" s="215"/>
    </row>
    <row r="552" spans="15:34" ht="12"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15"/>
      <c r="Z552" s="215"/>
      <c r="AA552" s="215"/>
      <c r="AB552" s="215"/>
      <c r="AC552" s="215"/>
      <c r="AD552" s="215"/>
      <c r="AE552" s="215"/>
      <c r="AF552" s="215"/>
      <c r="AG552" s="215"/>
      <c r="AH552" s="215"/>
    </row>
    <row r="553" spans="15:34" ht="12"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</row>
    <row r="554" spans="15:34" ht="12"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</row>
    <row r="555" spans="15:34" ht="12">
      <c r="O555" s="215"/>
      <c r="P555" s="215"/>
      <c r="Q555" s="215"/>
      <c r="R555" s="215"/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</row>
    <row r="556" spans="15:34" ht="12"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</row>
    <row r="557" spans="15:34" ht="12"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</row>
    <row r="558" spans="15:34" ht="12">
      <c r="O558" s="215"/>
      <c r="P558" s="215"/>
      <c r="Q558" s="215"/>
      <c r="R558" s="215"/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</row>
    <row r="559" spans="15:34" ht="12">
      <c r="O559" s="215"/>
      <c r="P559" s="215"/>
      <c r="Q559" s="215"/>
      <c r="R559" s="215"/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</row>
    <row r="560" spans="15:34" ht="12">
      <c r="O560" s="215"/>
      <c r="P560" s="215"/>
      <c r="Q560" s="215"/>
      <c r="R560" s="215"/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</row>
    <row r="561" spans="15:34" ht="12">
      <c r="O561" s="215"/>
      <c r="P561" s="215"/>
      <c r="Q561" s="215"/>
      <c r="R561" s="215"/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</row>
    <row r="562" spans="15:34" ht="12">
      <c r="O562" s="215"/>
      <c r="P562" s="215"/>
      <c r="Q562" s="215"/>
      <c r="R562" s="215"/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</row>
    <row r="563" spans="15:34" ht="12">
      <c r="O563" s="215"/>
      <c r="P563" s="215"/>
      <c r="Q563" s="215"/>
      <c r="R563" s="215"/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</row>
    <row r="564" spans="15:34" ht="12">
      <c r="O564" s="215"/>
      <c r="P564" s="215"/>
      <c r="Q564" s="215"/>
      <c r="R564" s="215"/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</row>
    <row r="565" spans="15:34" ht="12">
      <c r="O565" s="215"/>
      <c r="P565" s="215"/>
      <c r="Q565" s="215"/>
      <c r="R565" s="215"/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</row>
    <row r="566" spans="15:34" ht="12">
      <c r="O566" s="215"/>
      <c r="P566" s="215"/>
      <c r="Q566" s="215"/>
      <c r="R566" s="215"/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</row>
    <row r="567" spans="15:34" ht="12">
      <c r="O567" s="215"/>
      <c r="P567" s="215"/>
      <c r="Q567" s="215"/>
      <c r="R567" s="215"/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</row>
    <row r="568" spans="15:34" ht="12">
      <c r="O568" s="215"/>
      <c r="P568" s="215"/>
      <c r="Q568" s="215"/>
      <c r="R568" s="215"/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</row>
    <row r="569" spans="15:34" ht="12">
      <c r="O569" s="215"/>
      <c r="P569" s="215"/>
      <c r="Q569" s="215"/>
      <c r="R569" s="215"/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</row>
    <row r="570" spans="15:34" ht="12">
      <c r="O570" s="215"/>
      <c r="P570" s="215"/>
      <c r="Q570" s="215"/>
      <c r="R570" s="215"/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</row>
    <row r="571" spans="15:34" ht="12">
      <c r="O571" s="215"/>
      <c r="P571" s="215"/>
      <c r="Q571" s="215"/>
      <c r="R571" s="215"/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</row>
    <row r="572" spans="15:34" ht="12">
      <c r="O572" s="215"/>
      <c r="P572" s="215"/>
      <c r="Q572" s="215"/>
      <c r="R572" s="215"/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</row>
    <row r="573" spans="15:34" ht="12">
      <c r="O573" s="215"/>
      <c r="P573" s="215"/>
      <c r="Q573" s="215"/>
      <c r="R573" s="215"/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</row>
    <row r="574" spans="15:34" ht="12">
      <c r="O574" s="215"/>
      <c r="P574" s="215"/>
      <c r="Q574" s="215"/>
      <c r="R574" s="215"/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</row>
    <row r="575" spans="15:34" ht="12">
      <c r="O575" s="215"/>
      <c r="P575" s="215"/>
      <c r="Q575" s="215"/>
      <c r="R575" s="215"/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</row>
    <row r="576" spans="15:34" ht="12">
      <c r="O576" s="215"/>
      <c r="P576" s="215"/>
      <c r="Q576" s="215"/>
      <c r="R576" s="215"/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</row>
    <row r="577" spans="15:34" ht="12">
      <c r="O577" s="215"/>
      <c r="P577" s="215"/>
      <c r="Q577" s="215"/>
      <c r="R577" s="215"/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</row>
    <row r="578" spans="15:34" ht="12">
      <c r="O578" s="215"/>
      <c r="P578" s="215"/>
      <c r="Q578" s="215"/>
      <c r="R578" s="215"/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</row>
    <row r="579" spans="15:34" ht="12">
      <c r="O579" s="215"/>
      <c r="P579" s="215"/>
      <c r="Q579" s="215"/>
      <c r="R579" s="215"/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</row>
    <row r="580" spans="15:34" ht="12">
      <c r="O580" s="215"/>
      <c r="P580" s="215"/>
      <c r="Q580" s="215"/>
      <c r="R580" s="215"/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</row>
    <row r="581" spans="15:34" ht="12">
      <c r="O581" s="215"/>
      <c r="P581" s="215"/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</row>
    <row r="582" spans="15:34" ht="12">
      <c r="O582" s="215"/>
      <c r="P582" s="215"/>
      <c r="Q582" s="215"/>
      <c r="R582" s="215"/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</row>
    <row r="583" spans="15:34" ht="12">
      <c r="O583" s="215"/>
      <c r="P583" s="215"/>
      <c r="Q583" s="215"/>
      <c r="R583" s="215"/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</row>
    <row r="584" spans="15:34" ht="12"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</row>
    <row r="585" spans="15:34" ht="12"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</row>
    <row r="586" spans="15:34" ht="12">
      <c r="O586" s="215"/>
      <c r="P586" s="215"/>
      <c r="Q586" s="215"/>
      <c r="R586" s="215"/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</row>
    <row r="587" spans="15:34" ht="12"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</row>
    <row r="588" spans="15:34" ht="12"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</row>
    <row r="589" spans="15:34" ht="12"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</row>
    <row r="590" spans="15:34" ht="12"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</row>
    <row r="591" spans="15:34" ht="12"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</row>
    <row r="592" spans="15:34" ht="12"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</row>
    <row r="593" spans="15:34" ht="12"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</row>
    <row r="594" spans="15:34" ht="12"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</row>
    <row r="595" spans="15:34" ht="12"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</row>
    <row r="596" spans="15:34" ht="12"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</row>
    <row r="597" spans="15:34" ht="12"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</row>
    <row r="598" spans="15:34" ht="12"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</row>
    <row r="599" spans="15:34" ht="12"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</row>
    <row r="600" spans="15:34" ht="12"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</row>
    <row r="601" spans="15:34" ht="12"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</row>
    <row r="602" spans="15:34" ht="12"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</row>
    <row r="603" spans="15:34" ht="12"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</row>
    <row r="604" spans="15:34" ht="12"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</row>
    <row r="605" spans="15:34" ht="12"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</row>
    <row r="606" spans="15:34" ht="12"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</row>
    <row r="607" spans="15:34" ht="12"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</row>
    <row r="608" spans="15:34" ht="12"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</row>
    <row r="609" spans="15:34" ht="12"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</row>
    <row r="610" spans="15:34" ht="12"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</row>
    <row r="611" spans="15:34" ht="12"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</row>
    <row r="612" spans="15:34" ht="12"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</row>
    <row r="613" spans="15:34" ht="12"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</row>
    <row r="614" spans="15:34" ht="12"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</row>
    <row r="615" spans="15:34" ht="12"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</row>
    <row r="616" spans="15:34" ht="12"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</row>
    <row r="617" spans="15:34" ht="12"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</row>
    <row r="618" spans="15:34" ht="12"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</row>
    <row r="619" spans="15:34" ht="12"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</row>
    <row r="620" spans="15:34" ht="12"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</row>
    <row r="621" spans="15:34" ht="12"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</row>
    <row r="622" spans="15:34" ht="12"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</row>
    <row r="623" spans="15:34" ht="12"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</row>
    <row r="624" spans="15:34" ht="12"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</row>
    <row r="625" spans="15:34" ht="12"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</row>
    <row r="626" spans="15:34" ht="12"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</row>
    <row r="627" spans="15:34" ht="12"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</row>
    <row r="628" spans="15:34" ht="12"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</row>
    <row r="629" spans="15:34" ht="12"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</row>
    <row r="630" spans="15:34" ht="12"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</row>
    <row r="631" spans="15:34" ht="12"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</row>
    <row r="632" spans="15:34" ht="12"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</row>
    <row r="633" spans="15:34" ht="12"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</row>
    <row r="634" spans="15:34" ht="12"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</row>
    <row r="635" spans="15:34" ht="12"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</row>
    <row r="636" spans="15:34" ht="12"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</row>
    <row r="637" spans="15:34" ht="12"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</row>
    <row r="638" spans="15:34" ht="12"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</row>
    <row r="639" spans="15:34" ht="12"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</row>
    <row r="640" spans="15:34" ht="12"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</row>
    <row r="641" spans="15:34" ht="12"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</row>
    <row r="642" spans="15:34" ht="12"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</row>
    <row r="643" spans="15:34" ht="12"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</row>
    <row r="644" spans="15:34" ht="12"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</row>
    <row r="645" spans="15:34" ht="12"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</row>
    <row r="646" spans="15:34" ht="12"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</row>
    <row r="647" spans="15:34" ht="12"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</row>
    <row r="648" spans="15:34" ht="12"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</row>
    <row r="649" spans="15:34" ht="12"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</row>
    <row r="650" spans="15:34" ht="12"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</row>
    <row r="651" spans="15:34" ht="12"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</row>
    <row r="652" spans="15:34" ht="12"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</row>
    <row r="653" spans="15:34" ht="12"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</row>
    <row r="654" spans="15:34" ht="12"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</row>
    <row r="655" spans="15:34" ht="12"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</row>
    <row r="656" spans="15:34" ht="12"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</row>
    <row r="657" spans="15:34" ht="12"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</row>
    <row r="658" spans="15:34" ht="12"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</row>
    <row r="659" spans="15:34" ht="12"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</row>
    <row r="660" spans="15:34" ht="12"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</row>
    <row r="661" spans="15:34" ht="12"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</row>
    <row r="662" spans="15:34" ht="12"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</row>
    <row r="663" spans="15:34" ht="12"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</row>
    <row r="664" spans="15:34" ht="12"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</row>
    <row r="665" spans="15:34" ht="12"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</row>
    <row r="666" spans="15:34" ht="12"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</row>
    <row r="667" spans="15:34" ht="12"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</row>
    <row r="668" spans="15:34" ht="12"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</row>
    <row r="669" spans="15:34" ht="12"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</row>
    <row r="670" spans="15:34" ht="12"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</row>
    <row r="671" spans="15:34" ht="12"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</row>
    <row r="672" spans="15:34" ht="12"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</row>
    <row r="673" spans="15:34" ht="12"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</row>
    <row r="674" spans="15:34" ht="12"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</row>
    <row r="675" spans="15:34" ht="12"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</row>
    <row r="676" spans="15:34" ht="12"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</row>
    <row r="677" spans="15:34" ht="12"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</row>
    <row r="678" spans="15:34" ht="12"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</row>
    <row r="679" spans="15:34" ht="12"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</row>
    <row r="680" spans="15:34" ht="12"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</row>
    <row r="681" spans="15:34" ht="12"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</row>
    <row r="682" spans="15:34" ht="12"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</row>
    <row r="683" spans="15:34" ht="12"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</row>
    <row r="684" spans="15:34" ht="12"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</row>
    <row r="685" spans="15:34" ht="12"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</row>
    <row r="686" spans="15:34" ht="12"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</row>
    <row r="687" spans="15:34" ht="12"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</row>
    <row r="688" spans="15:34" ht="12"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</row>
    <row r="689" spans="15:34" ht="12"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</row>
    <row r="690" spans="15:34" ht="12"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</row>
    <row r="691" spans="15:34" ht="12"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</row>
    <row r="692" spans="15:34" ht="12"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</row>
    <row r="693" spans="15:34" ht="12"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</row>
    <row r="694" spans="15:34" ht="12"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</row>
    <row r="695" spans="15:34" ht="12"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</row>
    <row r="696" spans="15:34" ht="12"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</row>
    <row r="697" spans="15:34" ht="12"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</row>
    <row r="698" spans="15:34" ht="12"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</row>
    <row r="699" spans="15:34" ht="12"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</row>
    <row r="700" spans="15:34" ht="12"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</row>
    <row r="701" spans="15:34" ht="12"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</row>
    <row r="702" spans="15:34" ht="12"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</row>
    <row r="703" spans="15:34" ht="12"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</row>
    <row r="704" spans="15:34" ht="12"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</row>
    <row r="705" spans="15:34" ht="12"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</row>
    <row r="706" spans="15:34" ht="12"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</row>
    <row r="707" spans="15:34" ht="12"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</row>
    <row r="708" spans="15:34" ht="12"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</row>
    <row r="709" spans="15:34" ht="12"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</row>
    <row r="710" spans="15:34" ht="12"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</row>
    <row r="711" spans="15:34" ht="12"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</row>
    <row r="712" spans="15:34" ht="12"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</row>
    <row r="713" spans="15:34" ht="12"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</row>
    <row r="714" spans="15:34" ht="12"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</row>
    <row r="715" spans="15:34" ht="12"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</row>
    <row r="716" spans="15:34" ht="12"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</row>
    <row r="717" spans="15:34" ht="12"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</row>
    <row r="718" spans="15:34" ht="12"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</row>
    <row r="719" spans="15:34" ht="12"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</row>
    <row r="720" spans="15:34" ht="12"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</row>
    <row r="721" spans="15:34" ht="12"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</row>
    <row r="722" spans="15:34" ht="12"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</row>
    <row r="723" spans="15:34" ht="12"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</row>
    <row r="724" spans="15:34" ht="12"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</row>
    <row r="725" spans="15:34" ht="12"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</row>
    <row r="726" spans="15:34" ht="12"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</row>
    <row r="727" spans="15:34" ht="12"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</row>
    <row r="728" spans="15:34" ht="12"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</row>
    <row r="729" spans="15:34" ht="12"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</row>
    <row r="730" spans="15:34" ht="12"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</row>
    <row r="731" spans="15:34" ht="12"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</row>
    <row r="732" spans="15:34" ht="12"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</row>
    <row r="733" spans="15:34" ht="12"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</row>
    <row r="734" spans="15:34" ht="12"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</row>
    <row r="735" spans="15:34" ht="12"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</row>
    <row r="736" spans="15:34" ht="12"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</row>
    <row r="737" spans="15:34" ht="12"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</row>
    <row r="738" spans="15:34" ht="12"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</row>
    <row r="739" spans="15:34" ht="12"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</row>
    <row r="740" spans="15:34" ht="12"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</row>
    <row r="741" spans="15:34" ht="12"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</row>
    <row r="742" spans="15:34" ht="12"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</row>
    <row r="743" spans="15:34" ht="12"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</row>
    <row r="744" spans="15:34" ht="12"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</row>
    <row r="745" spans="15:34" ht="12"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</row>
    <row r="746" spans="15:34" ht="12"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</row>
    <row r="747" spans="15:34" ht="12"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</row>
    <row r="748" spans="15:34" ht="12"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</row>
    <row r="749" spans="15:34" ht="12"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</row>
    <row r="750" spans="15:34" ht="12"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</row>
    <row r="751" spans="15:34" ht="12"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</row>
    <row r="752" spans="15:34" ht="12"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</row>
    <row r="753" spans="15:34" ht="12"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</row>
    <row r="754" spans="15:34" ht="12"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</row>
    <row r="755" spans="15:34" ht="12"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</row>
    <row r="756" spans="15:34" ht="12"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</row>
    <row r="757" spans="15:34" ht="12"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</row>
    <row r="758" spans="15:34" ht="12"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</row>
    <row r="759" spans="15:34" ht="12"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</row>
    <row r="760" spans="15:34" ht="12"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</row>
    <row r="761" spans="15:34" ht="12"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</row>
    <row r="762" spans="15:34" ht="12"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</row>
    <row r="763" spans="15:34" ht="12"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</row>
    <row r="764" spans="15:34" ht="12"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</row>
    <row r="765" spans="15:34" ht="12"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</row>
    <row r="766" spans="15:34" ht="12"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</row>
    <row r="767" spans="15:34" ht="12"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</row>
    <row r="768" spans="15:34" ht="12"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</row>
    <row r="769" spans="15:34" ht="12"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</row>
    <row r="770" spans="15:34" ht="12"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</row>
    <row r="771" spans="15:34" ht="12"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</row>
    <row r="772" spans="15:34" ht="12"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</row>
    <row r="773" spans="15:34" ht="12"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</row>
    <row r="774" spans="15:34" ht="12"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</row>
    <row r="775" spans="15:34" ht="12"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</row>
    <row r="776" spans="15:34" ht="12"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</row>
    <row r="777" spans="15:34" ht="12"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</row>
    <row r="778" spans="15:34" ht="12"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</row>
    <row r="779" spans="15:34" ht="12"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</row>
    <row r="780" spans="15:34" ht="12"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</row>
    <row r="781" spans="15:34" ht="12"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</row>
    <row r="782" spans="15:34" ht="12"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</row>
    <row r="783" spans="15:34" ht="12"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</row>
    <row r="784" spans="15:34" ht="12"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</row>
    <row r="785" spans="15:34" ht="12"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</row>
    <row r="786" spans="15:34" ht="12"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</row>
    <row r="787" spans="15:34" ht="12"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</row>
    <row r="788" spans="15:34" ht="12"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</row>
    <row r="789" spans="15:34" ht="12"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</row>
    <row r="790" spans="15:34" ht="12"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</row>
    <row r="791" spans="15:34" ht="12"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</row>
    <row r="792" spans="15:34" ht="12">
      <c r="O792" s="215"/>
      <c r="P792" s="215"/>
      <c r="Q792" s="215"/>
      <c r="R792" s="215"/>
      <c r="S792" s="215"/>
      <c r="T792" s="215"/>
      <c r="U792" s="215"/>
      <c r="V792" s="215"/>
      <c r="W792" s="215"/>
      <c r="X792" s="215"/>
      <c r="Y792" s="215"/>
      <c r="Z792" s="215"/>
      <c r="AA792" s="215"/>
      <c r="AB792" s="215"/>
      <c r="AC792" s="215"/>
      <c r="AD792" s="215"/>
      <c r="AE792" s="215"/>
      <c r="AF792" s="215"/>
      <c r="AG792" s="215"/>
      <c r="AH792" s="215"/>
    </row>
    <row r="793" spans="15:34" ht="12">
      <c r="O793" s="215"/>
      <c r="P793" s="215"/>
      <c r="Q793" s="215"/>
      <c r="R793" s="215"/>
      <c r="S793" s="215"/>
      <c r="T793" s="215"/>
      <c r="U793" s="215"/>
      <c r="V793" s="215"/>
      <c r="W793" s="215"/>
      <c r="X793" s="215"/>
      <c r="Y793" s="215"/>
      <c r="Z793" s="215"/>
      <c r="AA793" s="215"/>
      <c r="AB793" s="215"/>
      <c r="AC793" s="215"/>
      <c r="AD793" s="215"/>
      <c r="AE793" s="215"/>
      <c r="AF793" s="215"/>
      <c r="AG793" s="215"/>
      <c r="AH793" s="215"/>
    </row>
    <row r="794" spans="15:34" ht="12">
      <c r="O794" s="215"/>
      <c r="P794" s="215"/>
      <c r="Q794" s="215"/>
      <c r="R794" s="215"/>
      <c r="S794" s="215"/>
      <c r="T794" s="215"/>
      <c r="U794" s="215"/>
      <c r="V794" s="215"/>
      <c r="W794" s="215"/>
      <c r="X794" s="215"/>
      <c r="Y794" s="215"/>
      <c r="Z794" s="215"/>
      <c r="AA794" s="215"/>
      <c r="AB794" s="215"/>
      <c r="AC794" s="215"/>
      <c r="AD794" s="215"/>
      <c r="AE794" s="215"/>
      <c r="AF794" s="215"/>
      <c r="AG794" s="215"/>
      <c r="AH794" s="215"/>
    </row>
    <row r="795" spans="15:34" ht="12">
      <c r="O795" s="215"/>
      <c r="P795" s="215"/>
      <c r="Q795" s="215"/>
      <c r="R795" s="215"/>
      <c r="S795" s="215"/>
      <c r="T795" s="215"/>
      <c r="U795" s="215"/>
      <c r="V795" s="215"/>
      <c r="W795" s="215"/>
      <c r="X795" s="215"/>
      <c r="Y795" s="215"/>
      <c r="Z795" s="215"/>
      <c r="AA795" s="215"/>
      <c r="AB795" s="215"/>
      <c r="AC795" s="215"/>
      <c r="AD795" s="215"/>
      <c r="AE795" s="215"/>
      <c r="AF795" s="215"/>
      <c r="AG795" s="215"/>
      <c r="AH795" s="215"/>
    </row>
    <row r="796" spans="15:34" ht="12">
      <c r="O796" s="215"/>
      <c r="P796" s="215"/>
      <c r="Q796" s="215"/>
      <c r="R796" s="215"/>
      <c r="S796" s="215"/>
      <c r="T796" s="215"/>
      <c r="U796" s="215"/>
      <c r="V796" s="215"/>
      <c r="W796" s="215"/>
      <c r="X796" s="215"/>
      <c r="Y796" s="215"/>
      <c r="Z796" s="215"/>
      <c r="AA796" s="215"/>
      <c r="AB796" s="215"/>
      <c r="AC796" s="215"/>
      <c r="AD796" s="215"/>
      <c r="AE796" s="215"/>
      <c r="AF796" s="215"/>
      <c r="AG796" s="215"/>
      <c r="AH796" s="215"/>
    </row>
    <row r="797" spans="15:34" ht="12">
      <c r="O797" s="215"/>
      <c r="P797" s="215"/>
      <c r="Q797" s="215"/>
      <c r="R797" s="215"/>
      <c r="S797" s="215"/>
      <c r="T797" s="215"/>
      <c r="U797" s="215"/>
      <c r="V797" s="215"/>
      <c r="W797" s="215"/>
      <c r="X797" s="215"/>
      <c r="Y797" s="215"/>
      <c r="Z797" s="215"/>
      <c r="AA797" s="215"/>
      <c r="AB797" s="215"/>
      <c r="AC797" s="215"/>
      <c r="AD797" s="215"/>
      <c r="AE797" s="215"/>
      <c r="AF797" s="215"/>
      <c r="AG797" s="215"/>
      <c r="AH797" s="215"/>
    </row>
    <row r="798" spans="15:34" ht="12">
      <c r="O798" s="215"/>
      <c r="P798" s="215"/>
      <c r="Q798" s="215"/>
      <c r="R798" s="215"/>
      <c r="S798" s="215"/>
      <c r="T798" s="215"/>
      <c r="U798" s="215"/>
      <c r="V798" s="215"/>
      <c r="W798" s="215"/>
      <c r="X798" s="215"/>
      <c r="Y798" s="215"/>
      <c r="Z798" s="215"/>
      <c r="AA798" s="215"/>
      <c r="AB798" s="215"/>
      <c r="AC798" s="215"/>
      <c r="AD798" s="215"/>
      <c r="AE798" s="215"/>
      <c r="AF798" s="215"/>
      <c r="AG798" s="215"/>
      <c r="AH798" s="215"/>
    </row>
    <row r="799" spans="15:34" ht="12">
      <c r="O799" s="215"/>
      <c r="P799" s="215"/>
      <c r="Q799" s="215"/>
      <c r="R799" s="215"/>
      <c r="S799" s="215"/>
      <c r="T799" s="215"/>
      <c r="U799" s="215"/>
      <c r="V799" s="215"/>
      <c r="W799" s="215"/>
      <c r="X799" s="215"/>
      <c r="Y799" s="215"/>
      <c r="Z799" s="215"/>
      <c r="AA799" s="215"/>
      <c r="AB799" s="215"/>
      <c r="AC799" s="215"/>
      <c r="AD799" s="215"/>
      <c r="AE799" s="215"/>
      <c r="AF799" s="215"/>
      <c r="AG799" s="215"/>
      <c r="AH799" s="215"/>
    </row>
    <row r="800" spans="15:34" ht="12">
      <c r="O800" s="215"/>
      <c r="P800" s="215"/>
      <c r="Q800" s="215"/>
      <c r="R800" s="215"/>
      <c r="S800" s="215"/>
      <c r="T800" s="215"/>
      <c r="U800" s="215"/>
      <c r="V800" s="215"/>
      <c r="W800" s="215"/>
      <c r="X800" s="215"/>
      <c r="Y800" s="215"/>
      <c r="Z800" s="215"/>
      <c r="AA800" s="215"/>
      <c r="AB800" s="215"/>
      <c r="AC800" s="215"/>
      <c r="AD800" s="215"/>
      <c r="AE800" s="215"/>
      <c r="AF800" s="215"/>
      <c r="AG800" s="215"/>
      <c r="AH800" s="215"/>
    </row>
    <row r="801" spans="15:34" ht="12">
      <c r="O801" s="215"/>
      <c r="P801" s="215"/>
      <c r="Q801" s="215"/>
      <c r="R801" s="215"/>
      <c r="S801" s="215"/>
      <c r="T801" s="215"/>
      <c r="U801" s="215"/>
      <c r="V801" s="215"/>
      <c r="W801" s="215"/>
      <c r="X801" s="215"/>
      <c r="Y801" s="215"/>
      <c r="Z801" s="215"/>
      <c r="AA801" s="215"/>
      <c r="AB801" s="215"/>
      <c r="AC801" s="215"/>
      <c r="AD801" s="215"/>
      <c r="AE801" s="215"/>
      <c r="AF801" s="215"/>
      <c r="AG801" s="215"/>
      <c r="AH801" s="215"/>
    </row>
    <row r="802" spans="15:34" ht="12">
      <c r="O802" s="215"/>
      <c r="P802" s="215"/>
      <c r="Q802" s="215"/>
      <c r="R802" s="215"/>
      <c r="S802" s="215"/>
      <c r="T802" s="215"/>
      <c r="U802" s="215"/>
      <c r="V802" s="215"/>
      <c r="W802" s="215"/>
      <c r="X802" s="215"/>
      <c r="Y802" s="215"/>
      <c r="Z802" s="215"/>
      <c r="AA802" s="215"/>
      <c r="AB802" s="215"/>
      <c r="AC802" s="215"/>
      <c r="AD802" s="215"/>
      <c r="AE802" s="215"/>
      <c r="AF802" s="215"/>
      <c r="AG802" s="215"/>
      <c r="AH802" s="215"/>
    </row>
    <row r="803" spans="15:34" ht="12">
      <c r="O803" s="215"/>
      <c r="P803" s="215"/>
      <c r="Q803" s="215"/>
      <c r="R803" s="215"/>
      <c r="S803" s="215"/>
      <c r="T803" s="215"/>
      <c r="U803" s="215"/>
      <c r="V803" s="215"/>
      <c r="W803" s="215"/>
      <c r="X803" s="215"/>
      <c r="Y803" s="215"/>
      <c r="Z803" s="215"/>
      <c r="AA803" s="215"/>
      <c r="AB803" s="215"/>
      <c r="AC803" s="215"/>
      <c r="AD803" s="215"/>
      <c r="AE803" s="215"/>
      <c r="AF803" s="215"/>
      <c r="AG803" s="215"/>
      <c r="AH803" s="215"/>
    </row>
    <row r="804" spans="15:34" ht="12">
      <c r="O804" s="215"/>
      <c r="P804" s="215"/>
      <c r="Q804" s="215"/>
      <c r="R804" s="215"/>
      <c r="S804" s="215"/>
      <c r="T804" s="215"/>
      <c r="U804" s="215"/>
      <c r="V804" s="215"/>
      <c r="W804" s="215"/>
      <c r="X804" s="215"/>
      <c r="Y804" s="215"/>
      <c r="Z804" s="215"/>
      <c r="AA804" s="215"/>
      <c r="AB804" s="215"/>
      <c r="AC804" s="215"/>
      <c r="AD804" s="215"/>
      <c r="AE804" s="215"/>
      <c r="AF804" s="215"/>
      <c r="AG804" s="215"/>
      <c r="AH804" s="215"/>
    </row>
    <row r="805" spans="15:34" ht="12">
      <c r="O805" s="215"/>
      <c r="P805" s="215"/>
      <c r="Q805" s="215"/>
      <c r="R805" s="215"/>
      <c r="S805" s="215"/>
      <c r="T805" s="215"/>
      <c r="U805" s="215"/>
      <c r="V805" s="215"/>
      <c r="W805" s="215"/>
      <c r="X805" s="215"/>
      <c r="Y805" s="215"/>
      <c r="Z805" s="215"/>
      <c r="AA805" s="215"/>
      <c r="AB805" s="215"/>
      <c r="AC805" s="215"/>
      <c r="AD805" s="215"/>
      <c r="AE805" s="215"/>
      <c r="AF805" s="215"/>
      <c r="AG805" s="215"/>
      <c r="AH805" s="215"/>
    </row>
    <row r="806" spans="15:34" ht="12">
      <c r="O806" s="215"/>
      <c r="P806" s="215"/>
      <c r="Q806" s="215"/>
      <c r="R806" s="215"/>
      <c r="S806" s="215"/>
      <c r="T806" s="215"/>
      <c r="U806" s="215"/>
      <c r="V806" s="215"/>
      <c r="W806" s="215"/>
      <c r="X806" s="215"/>
      <c r="Y806" s="215"/>
      <c r="Z806" s="215"/>
      <c r="AA806" s="215"/>
      <c r="AB806" s="215"/>
      <c r="AC806" s="215"/>
      <c r="AD806" s="215"/>
      <c r="AE806" s="215"/>
      <c r="AF806" s="215"/>
      <c r="AG806" s="215"/>
      <c r="AH806" s="215"/>
    </row>
    <row r="807" spans="15:34" ht="12">
      <c r="O807" s="215"/>
      <c r="P807" s="215"/>
      <c r="Q807" s="215"/>
      <c r="R807" s="215"/>
      <c r="S807" s="215"/>
      <c r="T807" s="215"/>
      <c r="U807" s="215"/>
      <c r="V807" s="215"/>
      <c r="W807" s="215"/>
      <c r="X807" s="215"/>
      <c r="Y807" s="215"/>
      <c r="Z807" s="215"/>
      <c r="AA807" s="215"/>
      <c r="AB807" s="215"/>
      <c r="AC807" s="215"/>
      <c r="AD807" s="215"/>
      <c r="AE807" s="215"/>
      <c r="AF807" s="215"/>
      <c r="AG807" s="215"/>
      <c r="AH807" s="215"/>
    </row>
    <row r="808" spans="15:34" ht="12">
      <c r="O808" s="215"/>
      <c r="P808" s="215"/>
      <c r="Q808" s="215"/>
      <c r="R808" s="215"/>
      <c r="S808" s="215"/>
      <c r="T808" s="215"/>
      <c r="U808" s="215"/>
      <c r="V808" s="215"/>
      <c r="W808" s="215"/>
      <c r="X808" s="215"/>
      <c r="Y808" s="215"/>
      <c r="Z808" s="215"/>
      <c r="AA808" s="215"/>
      <c r="AB808" s="215"/>
      <c r="AC808" s="215"/>
      <c r="AD808" s="215"/>
      <c r="AE808" s="215"/>
      <c r="AF808" s="215"/>
      <c r="AG808" s="215"/>
      <c r="AH808" s="215"/>
    </row>
    <row r="809" spans="15:34" ht="12">
      <c r="O809" s="215"/>
      <c r="P809" s="215"/>
      <c r="Q809" s="215"/>
      <c r="R809" s="215"/>
      <c r="S809" s="215"/>
      <c r="T809" s="215"/>
      <c r="U809" s="215"/>
      <c r="V809" s="215"/>
      <c r="W809" s="215"/>
      <c r="X809" s="215"/>
      <c r="Y809" s="215"/>
      <c r="Z809" s="215"/>
      <c r="AA809" s="215"/>
      <c r="AB809" s="215"/>
      <c r="AC809" s="215"/>
      <c r="AD809" s="215"/>
      <c r="AE809" s="215"/>
      <c r="AF809" s="215"/>
      <c r="AG809" s="215"/>
      <c r="AH809" s="215"/>
    </row>
    <row r="810" spans="15:34" ht="12">
      <c r="O810" s="215"/>
      <c r="P810" s="215"/>
      <c r="Q810" s="215"/>
      <c r="R810" s="215"/>
      <c r="S810" s="215"/>
      <c r="T810" s="215"/>
      <c r="U810" s="215"/>
      <c r="V810" s="215"/>
      <c r="W810" s="215"/>
      <c r="X810" s="215"/>
      <c r="Y810" s="215"/>
      <c r="Z810" s="215"/>
      <c r="AA810" s="215"/>
      <c r="AB810" s="215"/>
      <c r="AC810" s="215"/>
      <c r="AD810" s="215"/>
      <c r="AE810" s="215"/>
      <c r="AF810" s="215"/>
      <c r="AG810" s="215"/>
      <c r="AH810" s="215"/>
    </row>
    <row r="811" spans="15:34" ht="12">
      <c r="O811" s="215"/>
      <c r="P811" s="215"/>
      <c r="Q811" s="215"/>
      <c r="R811" s="215"/>
      <c r="S811" s="215"/>
      <c r="T811" s="215"/>
      <c r="U811" s="215"/>
      <c r="V811" s="215"/>
      <c r="W811" s="215"/>
      <c r="X811" s="215"/>
      <c r="Y811" s="215"/>
      <c r="Z811" s="215"/>
      <c r="AA811" s="215"/>
      <c r="AB811" s="215"/>
      <c r="AC811" s="215"/>
      <c r="AD811" s="215"/>
      <c r="AE811" s="215"/>
      <c r="AF811" s="215"/>
      <c r="AG811" s="215"/>
      <c r="AH811" s="215"/>
    </row>
    <row r="812" spans="15:34" ht="12">
      <c r="O812" s="215"/>
      <c r="P812" s="215"/>
      <c r="Q812" s="215"/>
      <c r="R812" s="215"/>
      <c r="S812" s="215"/>
      <c r="T812" s="215"/>
      <c r="U812" s="215"/>
      <c r="V812" s="215"/>
      <c r="W812" s="215"/>
      <c r="X812" s="215"/>
      <c r="Y812" s="215"/>
      <c r="Z812" s="215"/>
      <c r="AA812" s="215"/>
      <c r="AB812" s="215"/>
      <c r="AC812" s="215"/>
      <c r="AD812" s="215"/>
      <c r="AE812" s="215"/>
      <c r="AF812" s="215"/>
      <c r="AG812" s="215"/>
      <c r="AH812" s="215"/>
    </row>
    <row r="813" spans="15:34" ht="12">
      <c r="O813" s="215"/>
      <c r="P813" s="215"/>
      <c r="Q813" s="215"/>
      <c r="R813" s="215"/>
      <c r="S813" s="215"/>
      <c r="T813" s="215"/>
      <c r="U813" s="215"/>
      <c r="V813" s="215"/>
      <c r="W813" s="215"/>
      <c r="X813" s="215"/>
      <c r="Y813" s="215"/>
      <c r="Z813" s="215"/>
      <c r="AA813" s="215"/>
      <c r="AB813" s="215"/>
      <c r="AC813" s="215"/>
      <c r="AD813" s="215"/>
      <c r="AE813" s="215"/>
      <c r="AF813" s="215"/>
      <c r="AG813" s="215"/>
      <c r="AH813" s="215"/>
    </row>
    <row r="814" spans="15:34" ht="12"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  <c r="AF814" s="215"/>
      <c r="AG814" s="215"/>
      <c r="AH814" s="215"/>
    </row>
    <row r="815" spans="15:34" ht="12">
      <c r="O815" s="215"/>
      <c r="P815" s="215"/>
      <c r="Q815" s="215"/>
      <c r="R815" s="215"/>
      <c r="S815" s="215"/>
      <c r="T815" s="215"/>
      <c r="U815" s="215"/>
      <c r="V815" s="215"/>
      <c r="W815" s="215"/>
      <c r="X815" s="215"/>
      <c r="Y815" s="215"/>
      <c r="Z815" s="215"/>
      <c r="AA815" s="215"/>
      <c r="AB815" s="215"/>
      <c r="AC815" s="215"/>
      <c r="AD815" s="215"/>
      <c r="AE815" s="215"/>
      <c r="AF815" s="215"/>
      <c r="AG815" s="215"/>
      <c r="AH815" s="215"/>
    </row>
    <row r="816" spans="15:34" ht="12">
      <c r="O816" s="215"/>
      <c r="P816" s="215"/>
      <c r="Q816" s="215"/>
      <c r="R816" s="215"/>
      <c r="S816" s="215"/>
      <c r="T816" s="215"/>
      <c r="U816" s="215"/>
      <c r="V816" s="215"/>
      <c r="W816" s="215"/>
      <c r="X816" s="215"/>
      <c r="Y816" s="215"/>
      <c r="Z816" s="215"/>
      <c r="AA816" s="215"/>
      <c r="AB816" s="215"/>
      <c r="AC816" s="215"/>
      <c r="AD816" s="215"/>
      <c r="AE816" s="215"/>
      <c r="AF816" s="215"/>
      <c r="AG816" s="215"/>
      <c r="AH816" s="215"/>
    </row>
    <row r="817" spans="15:34" ht="12">
      <c r="O817" s="215"/>
      <c r="P817" s="215"/>
      <c r="Q817" s="215"/>
      <c r="R817" s="215"/>
      <c r="S817" s="215"/>
      <c r="T817" s="215"/>
      <c r="U817" s="215"/>
      <c r="V817" s="215"/>
      <c r="W817" s="215"/>
      <c r="X817" s="215"/>
      <c r="Y817" s="215"/>
      <c r="Z817" s="215"/>
      <c r="AA817" s="215"/>
      <c r="AB817" s="215"/>
      <c r="AC817" s="215"/>
      <c r="AD817" s="215"/>
      <c r="AE817" s="215"/>
      <c r="AF817" s="215"/>
      <c r="AG817" s="215"/>
      <c r="AH817" s="215"/>
    </row>
    <row r="818" spans="15:34" ht="12">
      <c r="O818" s="215"/>
      <c r="P818" s="215"/>
      <c r="Q818" s="215"/>
      <c r="R818" s="215"/>
      <c r="S818" s="215"/>
      <c r="T818" s="215"/>
      <c r="U818" s="215"/>
      <c r="V818" s="215"/>
      <c r="W818" s="215"/>
      <c r="X818" s="215"/>
      <c r="Y818" s="215"/>
      <c r="Z818" s="215"/>
      <c r="AA818" s="215"/>
      <c r="AB818" s="215"/>
      <c r="AC818" s="215"/>
      <c r="AD818" s="215"/>
      <c r="AE818" s="215"/>
      <c r="AF818" s="215"/>
      <c r="AG818" s="215"/>
      <c r="AH818" s="215"/>
    </row>
    <row r="819" spans="15:34" ht="12">
      <c r="O819" s="215"/>
      <c r="P819" s="215"/>
      <c r="Q819" s="215"/>
      <c r="R819" s="215"/>
      <c r="S819" s="215"/>
      <c r="T819" s="215"/>
      <c r="U819" s="215"/>
      <c r="V819" s="215"/>
      <c r="W819" s="215"/>
      <c r="X819" s="215"/>
      <c r="Y819" s="215"/>
      <c r="Z819" s="215"/>
      <c r="AA819" s="215"/>
      <c r="AB819" s="215"/>
      <c r="AC819" s="215"/>
      <c r="AD819" s="215"/>
      <c r="AE819" s="215"/>
      <c r="AF819" s="215"/>
      <c r="AG819" s="215"/>
      <c r="AH819" s="215"/>
    </row>
    <row r="820" spans="15:34" ht="12">
      <c r="O820" s="215"/>
      <c r="P820" s="215"/>
      <c r="Q820" s="215"/>
      <c r="R820" s="215"/>
      <c r="S820" s="215"/>
      <c r="T820" s="215"/>
      <c r="U820" s="215"/>
      <c r="V820" s="215"/>
      <c r="W820" s="215"/>
      <c r="X820" s="215"/>
      <c r="Y820" s="215"/>
      <c r="Z820" s="215"/>
      <c r="AA820" s="215"/>
      <c r="AB820" s="215"/>
      <c r="AC820" s="215"/>
      <c r="AD820" s="215"/>
      <c r="AE820" s="215"/>
      <c r="AF820" s="215"/>
      <c r="AG820" s="215"/>
      <c r="AH820" s="215"/>
    </row>
    <row r="821" spans="15:34" ht="12">
      <c r="O821" s="215"/>
      <c r="P821" s="215"/>
      <c r="Q821" s="215"/>
      <c r="R821" s="215"/>
      <c r="S821" s="215"/>
      <c r="T821" s="215"/>
      <c r="U821" s="215"/>
      <c r="V821" s="215"/>
      <c r="W821" s="215"/>
      <c r="X821" s="215"/>
      <c r="Y821" s="215"/>
      <c r="Z821" s="215"/>
      <c r="AA821" s="215"/>
      <c r="AB821" s="215"/>
      <c r="AC821" s="215"/>
      <c r="AD821" s="215"/>
      <c r="AE821" s="215"/>
      <c r="AF821" s="215"/>
      <c r="AG821" s="215"/>
      <c r="AH821" s="215"/>
    </row>
    <row r="822" spans="15:34" ht="12">
      <c r="O822" s="215"/>
      <c r="P822" s="215"/>
      <c r="Q822" s="215"/>
      <c r="R822" s="215"/>
      <c r="S822" s="215"/>
      <c r="T822" s="215"/>
      <c r="U822" s="215"/>
      <c r="V822" s="215"/>
      <c r="W822" s="215"/>
      <c r="X822" s="215"/>
      <c r="Y822" s="215"/>
      <c r="Z822" s="215"/>
      <c r="AA822" s="215"/>
      <c r="AB822" s="215"/>
      <c r="AC822" s="215"/>
      <c r="AD822" s="215"/>
      <c r="AE822" s="215"/>
      <c r="AF822" s="215"/>
      <c r="AG822" s="215"/>
      <c r="AH822" s="215"/>
    </row>
    <row r="823" spans="15:34" ht="12">
      <c r="O823" s="215"/>
      <c r="P823" s="215"/>
      <c r="Q823" s="215"/>
      <c r="R823" s="215"/>
      <c r="S823" s="215"/>
      <c r="T823" s="215"/>
      <c r="U823" s="215"/>
      <c r="V823" s="215"/>
      <c r="W823" s="215"/>
      <c r="X823" s="215"/>
      <c r="Y823" s="215"/>
      <c r="Z823" s="215"/>
      <c r="AA823" s="215"/>
      <c r="AB823" s="215"/>
      <c r="AC823" s="215"/>
      <c r="AD823" s="215"/>
      <c r="AE823" s="215"/>
      <c r="AF823" s="215"/>
      <c r="AG823" s="215"/>
      <c r="AH823" s="215"/>
    </row>
    <row r="824" spans="15:34" ht="12">
      <c r="O824" s="215"/>
      <c r="P824" s="215"/>
      <c r="Q824" s="215"/>
      <c r="R824" s="215"/>
      <c r="S824" s="215"/>
      <c r="T824" s="215"/>
      <c r="U824" s="215"/>
      <c r="V824" s="215"/>
      <c r="W824" s="215"/>
      <c r="X824" s="215"/>
      <c r="Y824" s="215"/>
      <c r="Z824" s="215"/>
      <c r="AA824" s="215"/>
      <c r="AB824" s="215"/>
      <c r="AC824" s="215"/>
      <c r="AD824" s="215"/>
      <c r="AE824" s="215"/>
      <c r="AF824" s="215"/>
      <c r="AG824" s="215"/>
      <c r="AH824" s="215"/>
    </row>
    <row r="825" spans="15:34" ht="12">
      <c r="O825" s="215"/>
      <c r="P825" s="215"/>
      <c r="Q825" s="215"/>
      <c r="R825" s="215"/>
      <c r="S825" s="215"/>
      <c r="T825" s="215"/>
      <c r="U825" s="215"/>
      <c r="V825" s="215"/>
      <c r="W825" s="215"/>
      <c r="X825" s="215"/>
      <c r="Y825" s="215"/>
      <c r="Z825" s="215"/>
      <c r="AA825" s="215"/>
      <c r="AB825" s="215"/>
      <c r="AC825" s="215"/>
      <c r="AD825" s="215"/>
      <c r="AE825" s="215"/>
      <c r="AF825" s="215"/>
      <c r="AG825" s="215"/>
      <c r="AH825" s="215"/>
    </row>
    <row r="826" spans="15:34" ht="12">
      <c r="O826" s="215"/>
      <c r="P826" s="215"/>
      <c r="Q826" s="215"/>
      <c r="R826" s="215"/>
      <c r="S826" s="215"/>
      <c r="T826" s="215"/>
      <c r="U826" s="215"/>
      <c r="V826" s="215"/>
      <c r="W826" s="215"/>
      <c r="X826" s="215"/>
      <c r="Y826" s="215"/>
      <c r="Z826" s="215"/>
      <c r="AA826" s="215"/>
      <c r="AB826" s="215"/>
      <c r="AC826" s="215"/>
      <c r="AD826" s="215"/>
      <c r="AE826" s="215"/>
      <c r="AF826" s="215"/>
      <c r="AG826" s="215"/>
      <c r="AH826" s="215"/>
    </row>
    <row r="827" spans="15:34" ht="12">
      <c r="O827" s="215"/>
      <c r="P827" s="215"/>
      <c r="Q827" s="215"/>
      <c r="R827" s="215"/>
      <c r="S827" s="215"/>
      <c r="T827" s="215"/>
      <c r="U827" s="215"/>
      <c r="V827" s="215"/>
      <c r="W827" s="215"/>
      <c r="X827" s="215"/>
      <c r="Y827" s="215"/>
      <c r="Z827" s="215"/>
      <c r="AA827" s="215"/>
      <c r="AB827" s="215"/>
      <c r="AC827" s="215"/>
      <c r="AD827" s="215"/>
      <c r="AE827" s="215"/>
      <c r="AF827" s="215"/>
      <c r="AG827" s="215"/>
      <c r="AH827" s="215"/>
    </row>
    <row r="828" spans="15:34" ht="12">
      <c r="O828" s="215"/>
      <c r="P828" s="215"/>
      <c r="Q828" s="215"/>
      <c r="R828" s="215"/>
      <c r="S828" s="215"/>
      <c r="T828" s="215"/>
      <c r="U828" s="215"/>
      <c r="V828" s="215"/>
      <c r="W828" s="215"/>
      <c r="X828" s="215"/>
      <c r="Y828" s="215"/>
      <c r="Z828" s="215"/>
      <c r="AA828" s="215"/>
      <c r="AB828" s="215"/>
      <c r="AC828" s="215"/>
      <c r="AD828" s="215"/>
      <c r="AE828" s="215"/>
      <c r="AF828" s="215"/>
      <c r="AG828" s="215"/>
      <c r="AH828" s="215"/>
    </row>
    <row r="829" spans="15:34" ht="12">
      <c r="O829" s="215"/>
      <c r="P829" s="215"/>
      <c r="Q829" s="215"/>
      <c r="R829" s="215"/>
      <c r="S829" s="215"/>
      <c r="T829" s="215"/>
      <c r="U829" s="215"/>
      <c r="V829" s="215"/>
      <c r="W829" s="215"/>
      <c r="X829" s="215"/>
      <c r="Y829" s="215"/>
      <c r="Z829" s="215"/>
      <c r="AA829" s="215"/>
      <c r="AB829" s="215"/>
      <c r="AC829" s="215"/>
      <c r="AD829" s="215"/>
      <c r="AE829" s="215"/>
      <c r="AF829" s="215"/>
      <c r="AG829" s="215"/>
      <c r="AH829" s="215"/>
    </row>
    <row r="830" spans="15:34" ht="12">
      <c r="O830" s="215"/>
      <c r="P830" s="215"/>
      <c r="Q830" s="215"/>
      <c r="R830" s="215"/>
      <c r="S830" s="215"/>
      <c r="T830" s="215"/>
      <c r="U830" s="215"/>
      <c r="V830" s="215"/>
      <c r="W830" s="215"/>
      <c r="X830" s="215"/>
      <c r="Y830" s="215"/>
      <c r="Z830" s="215"/>
      <c r="AA830" s="215"/>
      <c r="AB830" s="215"/>
      <c r="AC830" s="215"/>
      <c r="AD830" s="215"/>
      <c r="AE830" s="215"/>
      <c r="AF830" s="215"/>
      <c r="AG830" s="215"/>
      <c r="AH830" s="215"/>
    </row>
    <row r="831" spans="15:34" ht="12">
      <c r="O831" s="215"/>
      <c r="P831" s="215"/>
      <c r="Q831" s="215"/>
      <c r="R831" s="215"/>
      <c r="S831" s="215"/>
      <c r="T831" s="215"/>
      <c r="U831" s="215"/>
      <c r="V831" s="215"/>
      <c r="W831" s="215"/>
      <c r="X831" s="215"/>
      <c r="Y831" s="215"/>
      <c r="Z831" s="215"/>
      <c r="AA831" s="215"/>
      <c r="AB831" s="215"/>
      <c r="AC831" s="215"/>
      <c r="AD831" s="215"/>
      <c r="AE831" s="215"/>
      <c r="AF831" s="215"/>
      <c r="AG831" s="215"/>
      <c r="AH831" s="215"/>
    </row>
    <row r="832" spans="15:34" ht="12">
      <c r="O832" s="215"/>
      <c r="P832" s="215"/>
      <c r="Q832" s="215"/>
      <c r="R832" s="215"/>
      <c r="S832" s="215"/>
      <c r="T832" s="215"/>
      <c r="U832" s="215"/>
      <c r="V832" s="215"/>
      <c r="W832" s="215"/>
      <c r="X832" s="215"/>
      <c r="Y832" s="215"/>
      <c r="Z832" s="215"/>
      <c r="AA832" s="215"/>
      <c r="AB832" s="215"/>
      <c r="AC832" s="215"/>
      <c r="AD832" s="215"/>
      <c r="AE832" s="215"/>
      <c r="AF832" s="215"/>
      <c r="AG832" s="215"/>
      <c r="AH832" s="215"/>
    </row>
    <row r="833" spans="15:34" ht="12">
      <c r="O833" s="215"/>
      <c r="P833" s="215"/>
      <c r="Q833" s="215"/>
      <c r="R833" s="215"/>
      <c r="S833" s="215"/>
      <c r="T833" s="215"/>
      <c r="U833" s="215"/>
      <c r="V833" s="215"/>
      <c r="W833" s="215"/>
      <c r="X833" s="215"/>
      <c r="Y833" s="215"/>
      <c r="Z833" s="215"/>
      <c r="AA833" s="215"/>
      <c r="AB833" s="215"/>
      <c r="AC833" s="215"/>
      <c r="AD833" s="215"/>
      <c r="AE833" s="215"/>
      <c r="AF833" s="215"/>
      <c r="AG833" s="215"/>
      <c r="AH833" s="215"/>
    </row>
    <row r="834" spans="15:34" ht="12">
      <c r="O834" s="215"/>
      <c r="P834" s="215"/>
      <c r="Q834" s="215"/>
      <c r="R834" s="215"/>
      <c r="S834" s="215"/>
      <c r="T834" s="215"/>
      <c r="U834" s="215"/>
      <c r="V834" s="215"/>
      <c r="W834" s="215"/>
      <c r="X834" s="215"/>
      <c r="Y834" s="215"/>
      <c r="Z834" s="215"/>
      <c r="AA834" s="215"/>
      <c r="AB834" s="215"/>
      <c r="AC834" s="215"/>
      <c r="AD834" s="215"/>
      <c r="AE834" s="215"/>
      <c r="AF834" s="215"/>
      <c r="AG834" s="215"/>
      <c r="AH834" s="215"/>
    </row>
    <row r="835" spans="15:34" ht="12">
      <c r="O835" s="215"/>
      <c r="P835" s="215"/>
      <c r="Q835" s="215"/>
      <c r="R835" s="215"/>
      <c r="S835" s="215"/>
      <c r="T835" s="215"/>
      <c r="U835" s="215"/>
      <c r="V835" s="215"/>
      <c r="W835" s="215"/>
      <c r="X835" s="215"/>
      <c r="Y835" s="215"/>
      <c r="Z835" s="215"/>
      <c r="AA835" s="215"/>
      <c r="AB835" s="215"/>
      <c r="AC835" s="215"/>
      <c r="AD835" s="215"/>
      <c r="AE835" s="215"/>
      <c r="AF835" s="215"/>
      <c r="AG835" s="215"/>
      <c r="AH835" s="215"/>
    </row>
    <row r="836" spans="15:34" ht="12">
      <c r="O836" s="215"/>
      <c r="P836" s="215"/>
      <c r="Q836" s="215"/>
      <c r="R836" s="215"/>
      <c r="S836" s="215"/>
      <c r="T836" s="215"/>
      <c r="U836" s="215"/>
      <c r="V836" s="215"/>
      <c r="W836" s="215"/>
      <c r="X836" s="215"/>
      <c r="Y836" s="215"/>
      <c r="Z836" s="215"/>
      <c r="AA836" s="215"/>
      <c r="AB836" s="215"/>
      <c r="AC836" s="215"/>
      <c r="AD836" s="215"/>
      <c r="AE836" s="215"/>
      <c r="AF836" s="215"/>
      <c r="AG836" s="215"/>
      <c r="AH836" s="215"/>
    </row>
    <row r="837" spans="15:34" ht="12">
      <c r="O837" s="215"/>
      <c r="P837" s="215"/>
      <c r="Q837" s="215"/>
      <c r="R837" s="215"/>
      <c r="S837" s="215"/>
      <c r="T837" s="215"/>
      <c r="U837" s="215"/>
      <c r="V837" s="215"/>
      <c r="W837" s="215"/>
      <c r="X837" s="215"/>
      <c r="Y837" s="215"/>
      <c r="Z837" s="215"/>
      <c r="AA837" s="215"/>
      <c r="AB837" s="215"/>
      <c r="AC837" s="215"/>
      <c r="AD837" s="215"/>
      <c r="AE837" s="215"/>
      <c r="AF837" s="215"/>
      <c r="AG837" s="215"/>
      <c r="AH837" s="215"/>
    </row>
    <row r="838" spans="15:34" ht="12">
      <c r="O838" s="215"/>
      <c r="P838" s="215"/>
      <c r="Q838" s="215"/>
      <c r="R838" s="215"/>
      <c r="S838" s="215"/>
      <c r="T838" s="215"/>
      <c r="U838" s="215"/>
      <c r="V838" s="215"/>
      <c r="W838" s="215"/>
      <c r="X838" s="215"/>
      <c r="Y838" s="215"/>
      <c r="Z838" s="215"/>
      <c r="AA838" s="215"/>
      <c r="AB838" s="215"/>
      <c r="AC838" s="215"/>
      <c r="AD838" s="215"/>
      <c r="AE838" s="215"/>
      <c r="AF838" s="215"/>
      <c r="AG838" s="215"/>
      <c r="AH838" s="215"/>
    </row>
    <row r="839" spans="15:34" ht="12">
      <c r="O839" s="215"/>
      <c r="P839" s="215"/>
      <c r="Q839" s="215"/>
      <c r="R839" s="215"/>
      <c r="S839" s="215"/>
      <c r="T839" s="215"/>
      <c r="U839" s="215"/>
      <c r="V839" s="215"/>
      <c r="W839" s="215"/>
      <c r="X839" s="215"/>
      <c r="Y839" s="215"/>
      <c r="Z839" s="215"/>
      <c r="AA839" s="215"/>
      <c r="AB839" s="215"/>
      <c r="AC839" s="215"/>
      <c r="AD839" s="215"/>
      <c r="AE839" s="215"/>
      <c r="AF839" s="215"/>
      <c r="AG839" s="215"/>
      <c r="AH839" s="215"/>
    </row>
    <row r="840" spans="15:34" ht="12">
      <c r="O840" s="215"/>
      <c r="P840" s="215"/>
      <c r="Q840" s="215"/>
      <c r="R840" s="215"/>
      <c r="S840" s="215"/>
      <c r="T840" s="215"/>
      <c r="U840" s="215"/>
      <c r="V840" s="215"/>
      <c r="W840" s="215"/>
      <c r="X840" s="215"/>
      <c r="Y840" s="215"/>
      <c r="Z840" s="215"/>
      <c r="AA840" s="215"/>
      <c r="AB840" s="215"/>
      <c r="AC840" s="215"/>
      <c r="AD840" s="215"/>
      <c r="AE840" s="215"/>
      <c r="AF840" s="215"/>
      <c r="AG840" s="215"/>
      <c r="AH840" s="215"/>
    </row>
    <row r="841" spans="15:34" ht="12">
      <c r="O841" s="215"/>
      <c r="P841" s="215"/>
      <c r="Q841" s="215"/>
      <c r="R841" s="215"/>
      <c r="S841" s="215"/>
      <c r="T841" s="215"/>
      <c r="U841" s="215"/>
      <c r="V841" s="215"/>
      <c r="W841" s="215"/>
      <c r="X841" s="215"/>
      <c r="Y841" s="215"/>
      <c r="Z841" s="215"/>
      <c r="AA841" s="215"/>
      <c r="AB841" s="215"/>
      <c r="AC841" s="215"/>
      <c r="AD841" s="215"/>
      <c r="AE841" s="215"/>
      <c r="AF841" s="215"/>
      <c r="AG841" s="215"/>
      <c r="AH841" s="215"/>
    </row>
    <row r="842" spans="15:34" ht="12">
      <c r="O842" s="215"/>
      <c r="P842" s="215"/>
      <c r="Q842" s="215"/>
      <c r="R842" s="215"/>
      <c r="S842" s="215"/>
      <c r="T842" s="215"/>
      <c r="U842" s="215"/>
      <c r="V842" s="215"/>
      <c r="W842" s="215"/>
      <c r="X842" s="215"/>
      <c r="Y842" s="215"/>
      <c r="Z842" s="215"/>
      <c r="AA842" s="215"/>
      <c r="AB842" s="215"/>
      <c r="AC842" s="215"/>
      <c r="AD842" s="215"/>
      <c r="AE842" s="215"/>
      <c r="AF842" s="215"/>
      <c r="AG842" s="215"/>
      <c r="AH842" s="215"/>
    </row>
    <row r="843" spans="15:34" ht="12">
      <c r="O843" s="215"/>
      <c r="P843" s="215"/>
      <c r="Q843" s="215"/>
      <c r="R843" s="215"/>
      <c r="S843" s="215"/>
      <c r="T843" s="215"/>
      <c r="U843" s="215"/>
      <c r="V843" s="215"/>
      <c r="W843" s="215"/>
      <c r="X843" s="215"/>
      <c r="Y843" s="215"/>
      <c r="Z843" s="215"/>
      <c r="AA843" s="215"/>
      <c r="AB843" s="215"/>
      <c r="AC843" s="215"/>
      <c r="AD843" s="215"/>
      <c r="AE843" s="215"/>
      <c r="AF843" s="215"/>
      <c r="AG843" s="215"/>
      <c r="AH843" s="215"/>
    </row>
    <row r="844" spans="15:34" ht="12">
      <c r="O844" s="215"/>
      <c r="P844" s="215"/>
      <c r="Q844" s="215"/>
      <c r="R844" s="215"/>
      <c r="S844" s="215"/>
      <c r="T844" s="215"/>
      <c r="U844" s="215"/>
      <c r="V844" s="215"/>
      <c r="W844" s="215"/>
      <c r="X844" s="215"/>
      <c r="Y844" s="215"/>
      <c r="Z844" s="215"/>
      <c r="AA844" s="215"/>
      <c r="AB844" s="215"/>
      <c r="AC844" s="215"/>
      <c r="AD844" s="215"/>
      <c r="AE844" s="215"/>
      <c r="AF844" s="215"/>
      <c r="AG844" s="215"/>
      <c r="AH844" s="215"/>
    </row>
    <row r="845" spans="15:34" ht="12">
      <c r="O845" s="215"/>
      <c r="P845" s="215"/>
      <c r="Q845" s="215"/>
      <c r="R845" s="215"/>
      <c r="S845" s="215"/>
      <c r="T845" s="215"/>
      <c r="U845" s="215"/>
      <c r="V845" s="215"/>
      <c r="W845" s="215"/>
      <c r="X845" s="215"/>
      <c r="Y845" s="215"/>
      <c r="Z845" s="215"/>
      <c r="AA845" s="215"/>
      <c r="AB845" s="215"/>
      <c r="AC845" s="215"/>
      <c r="AD845" s="215"/>
      <c r="AE845" s="215"/>
      <c r="AF845" s="215"/>
      <c r="AG845" s="215"/>
      <c r="AH845" s="215"/>
    </row>
    <row r="846" spans="15:34" ht="12">
      <c r="O846" s="215"/>
      <c r="P846" s="215"/>
      <c r="Q846" s="215"/>
      <c r="R846" s="215"/>
      <c r="S846" s="215"/>
      <c r="T846" s="215"/>
      <c r="U846" s="215"/>
      <c r="V846" s="215"/>
      <c r="W846" s="215"/>
      <c r="X846" s="215"/>
      <c r="Y846" s="215"/>
      <c r="Z846" s="215"/>
      <c r="AA846" s="215"/>
      <c r="AB846" s="215"/>
      <c r="AC846" s="215"/>
      <c r="AD846" s="215"/>
      <c r="AE846" s="215"/>
      <c r="AF846" s="215"/>
      <c r="AG846" s="215"/>
      <c r="AH846" s="215"/>
    </row>
    <row r="847" spans="15:34" ht="12">
      <c r="O847" s="215"/>
      <c r="P847" s="215"/>
      <c r="Q847" s="215"/>
      <c r="R847" s="215"/>
      <c r="S847" s="215"/>
      <c r="T847" s="215"/>
      <c r="U847" s="215"/>
      <c r="V847" s="215"/>
      <c r="W847" s="215"/>
      <c r="X847" s="215"/>
      <c r="Y847" s="215"/>
      <c r="Z847" s="215"/>
      <c r="AA847" s="215"/>
      <c r="AB847" s="215"/>
      <c r="AC847" s="215"/>
      <c r="AD847" s="215"/>
      <c r="AE847" s="215"/>
      <c r="AF847" s="215"/>
      <c r="AG847" s="215"/>
      <c r="AH847" s="215"/>
    </row>
    <row r="848" spans="15:34" ht="12">
      <c r="O848" s="215"/>
      <c r="P848" s="215"/>
      <c r="Q848" s="215"/>
      <c r="R848" s="215"/>
      <c r="S848" s="215"/>
      <c r="T848" s="215"/>
      <c r="U848" s="215"/>
      <c r="V848" s="215"/>
      <c r="W848" s="215"/>
      <c r="X848" s="215"/>
      <c r="Y848" s="215"/>
      <c r="Z848" s="215"/>
      <c r="AA848" s="215"/>
      <c r="AB848" s="215"/>
      <c r="AC848" s="215"/>
      <c r="AD848" s="215"/>
      <c r="AE848" s="215"/>
      <c r="AF848" s="215"/>
      <c r="AG848" s="215"/>
      <c r="AH848" s="215"/>
    </row>
    <row r="849" spans="15:34" ht="12">
      <c r="O849" s="215"/>
      <c r="P849" s="215"/>
      <c r="Q849" s="215"/>
      <c r="R849" s="215"/>
      <c r="S849" s="215"/>
      <c r="T849" s="215"/>
      <c r="U849" s="215"/>
      <c r="V849" s="215"/>
      <c r="W849" s="215"/>
      <c r="X849" s="215"/>
      <c r="Y849" s="215"/>
      <c r="Z849" s="215"/>
      <c r="AA849" s="215"/>
      <c r="AB849" s="215"/>
      <c r="AC849" s="215"/>
      <c r="AD849" s="215"/>
      <c r="AE849" s="215"/>
      <c r="AF849" s="215"/>
      <c r="AG849" s="215"/>
      <c r="AH849" s="215"/>
    </row>
    <row r="850" spans="15:34" ht="12">
      <c r="O850" s="215"/>
      <c r="P850" s="215"/>
      <c r="Q850" s="215"/>
      <c r="R850" s="215"/>
      <c r="S850" s="215"/>
      <c r="T850" s="215"/>
      <c r="U850" s="215"/>
      <c r="V850" s="215"/>
      <c r="W850" s="215"/>
      <c r="X850" s="215"/>
      <c r="Y850" s="215"/>
      <c r="Z850" s="215"/>
      <c r="AA850" s="215"/>
      <c r="AB850" s="215"/>
      <c r="AC850" s="215"/>
      <c r="AD850" s="215"/>
      <c r="AE850" s="215"/>
      <c r="AF850" s="215"/>
      <c r="AG850" s="215"/>
      <c r="AH850" s="215"/>
    </row>
    <row r="851" spans="15:34" ht="12">
      <c r="O851" s="215"/>
      <c r="P851" s="215"/>
      <c r="Q851" s="215"/>
      <c r="R851" s="215"/>
      <c r="S851" s="215"/>
      <c r="T851" s="215"/>
      <c r="U851" s="215"/>
      <c r="V851" s="215"/>
      <c r="W851" s="215"/>
      <c r="X851" s="215"/>
      <c r="Y851" s="215"/>
      <c r="Z851" s="215"/>
      <c r="AA851" s="215"/>
      <c r="AB851" s="215"/>
      <c r="AC851" s="215"/>
      <c r="AD851" s="215"/>
      <c r="AE851" s="215"/>
      <c r="AF851" s="215"/>
      <c r="AG851" s="215"/>
      <c r="AH851" s="215"/>
    </row>
    <row r="852" spans="15:34" ht="12">
      <c r="O852" s="215"/>
      <c r="P852" s="215"/>
      <c r="Q852" s="215"/>
      <c r="R852" s="215"/>
      <c r="S852" s="215"/>
      <c r="T852" s="215"/>
      <c r="U852" s="215"/>
      <c r="V852" s="215"/>
      <c r="W852" s="215"/>
      <c r="X852" s="215"/>
      <c r="Y852" s="215"/>
      <c r="Z852" s="215"/>
      <c r="AA852" s="215"/>
      <c r="AB852" s="215"/>
      <c r="AC852" s="215"/>
      <c r="AD852" s="215"/>
      <c r="AE852" s="215"/>
      <c r="AF852" s="215"/>
      <c r="AG852" s="215"/>
      <c r="AH852" s="215"/>
    </row>
    <row r="853" spans="15:34" ht="12">
      <c r="O853" s="215"/>
      <c r="P853" s="215"/>
      <c r="Q853" s="215"/>
      <c r="R853" s="215"/>
      <c r="S853" s="215"/>
      <c r="T853" s="215"/>
      <c r="U853" s="215"/>
      <c r="V853" s="215"/>
      <c r="W853" s="215"/>
      <c r="X853" s="215"/>
      <c r="Y853" s="215"/>
      <c r="Z853" s="215"/>
      <c r="AA853" s="215"/>
      <c r="AB853" s="215"/>
      <c r="AC853" s="215"/>
      <c r="AD853" s="215"/>
      <c r="AE853" s="215"/>
      <c r="AF853" s="215"/>
      <c r="AG853" s="215"/>
      <c r="AH853" s="215"/>
    </row>
    <row r="854" spans="15:34" ht="12">
      <c r="O854" s="215"/>
      <c r="P854" s="215"/>
      <c r="Q854" s="215"/>
      <c r="R854" s="215"/>
      <c r="S854" s="215"/>
      <c r="T854" s="215"/>
      <c r="U854" s="215"/>
      <c r="V854" s="215"/>
      <c r="W854" s="215"/>
      <c r="X854" s="215"/>
      <c r="Y854" s="215"/>
      <c r="Z854" s="215"/>
      <c r="AA854" s="215"/>
      <c r="AB854" s="215"/>
      <c r="AC854" s="215"/>
      <c r="AD854" s="215"/>
      <c r="AE854" s="215"/>
      <c r="AF854" s="215"/>
      <c r="AG854" s="215"/>
      <c r="AH854" s="215"/>
    </row>
    <row r="855" spans="15:34" ht="12">
      <c r="O855" s="215"/>
      <c r="P855" s="215"/>
      <c r="Q855" s="215"/>
      <c r="R855" s="215"/>
      <c r="S855" s="215"/>
      <c r="T855" s="215"/>
      <c r="U855" s="215"/>
      <c r="V855" s="215"/>
      <c r="W855" s="215"/>
      <c r="X855" s="215"/>
      <c r="Y855" s="215"/>
      <c r="Z855" s="215"/>
      <c r="AA855" s="215"/>
      <c r="AB855" s="215"/>
      <c r="AC855" s="215"/>
      <c r="AD855" s="215"/>
      <c r="AE855" s="215"/>
      <c r="AF855" s="215"/>
      <c r="AG855" s="215"/>
      <c r="AH855" s="215"/>
    </row>
    <row r="856" spans="15:34" ht="12">
      <c r="O856" s="215"/>
      <c r="P856" s="215"/>
      <c r="Q856" s="215"/>
      <c r="R856" s="215"/>
      <c r="S856" s="215"/>
      <c r="T856" s="215"/>
      <c r="U856" s="215"/>
      <c r="V856" s="215"/>
      <c r="W856" s="215"/>
      <c r="X856" s="215"/>
      <c r="Y856" s="215"/>
      <c r="Z856" s="215"/>
      <c r="AA856" s="215"/>
      <c r="AB856" s="215"/>
      <c r="AC856" s="215"/>
      <c r="AD856" s="215"/>
      <c r="AE856" s="215"/>
      <c r="AF856" s="215"/>
      <c r="AG856" s="215"/>
      <c r="AH856" s="215"/>
    </row>
    <row r="857" spans="15:34" ht="12">
      <c r="O857" s="215"/>
      <c r="P857" s="215"/>
      <c r="Q857" s="215"/>
      <c r="R857" s="215"/>
      <c r="S857" s="215"/>
      <c r="T857" s="215"/>
      <c r="U857" s="215"/>
      <c r="V857" s="215"/>
      <c r="W857" s="215"/>
      <c r="X857" s="215"/>
      <c r="Y857" s="215"/>
      <c r="Z857" s="215"/>
      <c r="AA857" s="215"/>
      <c r="AB857" s="215"/>
      <c r="AC857" s="215"/>
      <c r="AD857" s="215"/>
      <c r="AE857" s="215"/>
      <c r="AF857" s="215"/>
      <c r="AG857" s="215"/>
      <c r="AH857" s="215"/>
    </row>
    <row r="858" spans="15:34" ht="12">
      <c r="O858" s="215"/>
      <c r="P858" s="215"/>
      <c r="Q858" s="215"/>
      <c r="R858" s="215"/>
      <c r="S858" s="215"/>
      <c r="T858" s="215"/>
      <c r="U858" s="215"/>
      <c r="V858" s="215"/>
      <c r="W858" s="215"/>
      <c r="X858" s="215"/>
      <c r="Y858" s="215"/>
      <c r="Z858" s="215"/>
      <c r="AA858" s="215"/>
      <c r="AB858" s="215"/>
      <c r="AC858" s="215"/>
      <c r="AD858" s="215"/>
      <c r="AE858" s="215"/>
      <c r="AF858" s="215"/>
      <c r="AG858" s="215"/>
      <c r="AH858" s="215"/>
    </row>
    <row r="859" spans="15:34" ht="12">
      <c r="O859" s="215"/>
      <c r="P859" s="215"/>
      <c r="Q859" s="215"/>
      <c r="R859" s="215"/>
      <c r="S859" s="215"/>
      <c r="T859" s="215"/>
      <c r="U859" s="215"/>
      <c r="V859" s="215"/>
      <c r="W859" s="215"/>
      <c r="X859" s="215"/>
      <c r="Y859" s="215"/>
      <c r="Z859" s="215"/>
      <c r="AA859" s="215"/>
      <c r="AB859" s="215"/>
      <c r="AC859" s="215"/>
      <c r="AD859" s="215"/>
      <c r="AE859" s="215"/>
      <c r="AF859" s="215"/>
      <c r="AG859" s="215"/>
      <c r="AH859" s="215"/>
    </row>
    <row r="860" spans="15:34" ht="12">
      <c r="O860" s="215"/>
      <c r="P860" s="215"/>
      <c r="Q860" s="215"/>
      <c r="R860" s="215"/>
      <c r="S860" s="215"/>
      <c r="T860" s="215"/>
      <c r="U860" s="215"/>
      <c r="V860" s="215"/>
      <c r="W860" s="215"/>
      <c r="X860" s="215"/>
      <c r="Y860" s="215"/>
      <c r="Z860" s="215"/>
      <c r="AA860" s="215"/>
      <c r="AB860" s="215"/>
      <c r="AC860" s="215"/>
      <c r="AD860" s="215"/>
      <c r="AE860" s="215"/>
      <c r="AF860" s="215"/>
      <c r="AG860" s="215"/>
      <c r="AH860" s="215"/>
    </row>
    <row r="861" spans="15:34" ht="12">
      <c r="O861" s="215"/>
      <c r="P861" s="215"/>
      <c r="Q861" s="215"/>
      <c r="R861" s="215"/>
      <c r="S861" s="215"/>
      <c r="T861" s="215"/>
      <c r="U861" s="215"/>
      <c r="V861" s="215"/>
      <c r="W861" s="215"/>
      <c r="X861" s="215"/>
      <c r="Y861" s="215"/>
      <c r="Z861" s="215"/>
      <c r="AA861" s="215"/>
      <c r="AB861" s="215"/>
      <c r="AC861" s="215"/>
      <c r="AD861" s="215"/>
      <c r="AE861" s="215"/>
      <c r="AF861" s="215"/>
      <c r="AG861" s="215"/>
      <c r="AH861" s="215"/>
    </row>
    <row r="862" spans="15:34" ht="12">
      <c r="O862" s="215"/>
      <c r="P862" s="215"/>
      <c r="Q862" s="215"/>
      <c r="R862" s="215"/>
      <c r="S862" s="215"/>
      <c r="T862" s="215"/>
      <c r="U862" s="215"/>
      <c r="V862" s="215"/>
      <c r="W862" s="215"/>
      <c r="X862" s="215"/>
      <c r="Y862" s="215"/>
      <c r="Z862" s="215"/>
      <c r="AA862" s="215"/>
      <c r="AB862" s="215"/>
      <c r="AC862" s="215"/>
      <c r="AD862" s="215"/>
      <c r="AE862" s="215"/>
      <c r="AF862" s="215"/>
      <c r="AG862" s="215"/>
      <c r="AH862" s="215"/>
    </row>
    <row r="863" spans="15:34" ht="12">
      <c r="O863" s="215"/>
      <c r="P863" s="215"/>
      <c r="Q863" s="215"/>
      <c r="R863" s="215"/>
      <c r="S863" s="215"/>
      <c r="T863" s="215"/>
      <c r="U863" s="215"/>
      <c r="V863" s="215"/>
      <c r="W863" s="215"/>
      <c r="X863" s="215"/>
      <c r="Y863" s="215"/>
      <c r="Z863" s="215"/>
      <c r="AA863" s="215"/>
      <c r="AB863" s="215"/>
      <c r="AC863" s="215"/>
      <c r="AD863" s="215"/>
      <c r="AE863" s="215"/>
      <c r="AF863" s="215"/>
      <c r="AG863" s="215"/>
      <c r="AH863" s="215"/>
    </row>
    <row r="864" spans="15:34" ht="12">
      <c r="O864" s="215"/>
      <c r="P864" s="215"/>
      <c r="Q864" s="215"/>
      <c r="R864" s="215"/>
      <c r="S864" s="215"/>
      <c r="T864" s="215"/>
      <c r="U864" s="215"/>
      <c r="V864" s="215"/>
      <c r="W864" s="215"/>
      <c r="X864" s="215"/>
      <c r="Y864" s="215"/>
      <c r="Z864" s="215"/>
      <c r="AA864" s="215"/>
      <c r="AB864" s="215"/>
      <c r="AC864" s="215"/>
      <c r="AD864" s="215"/>
      <c r="AE864" s="215"/>
      <c r="AF864" s="215"/>
      <c r="AG864" s="215"/>
      <c r="AH864" s="215"/>
    </row>
    <row r="865" spans="15:34" ht="12">
      <c r="O865" s="215"/>
      <c r="P865" s="215"/>
      <c r="Q865" s="215"/>
      <c r="R865" s="215"/>
      <c r="S865" s="215"/>
      <c r="T865" s="215"/>
      <c r="U865" s="215"/>
      <c r="V865" s="215"/>
      <c r="W865" s="215"/>
      <c r="X865" s="215"/>
      <c r="Y865" s="215"/>
      <c r="Z865" s="215"/>
      <c r="AA865" s="215"/>
      <c r="AB865" s="215"/>
      <c r="AC865" s="215"/>
      <c r="AD865" s="215"/>
      <c r="AE865" s="215"/>
      <c r="AF865" s="215"/>
      <c r="AG865" s="215"/>
      <c r="AH865" s="215"/>
    </row>
    <row r="866" spans="15:34" ht="12">
      <c r="O866" s="215"/>
      <c r="P866" s="215"/>
      <c r="Q866" s="215"/>
      <c r="R866" s="215"/>
      <c r="S866" s="215"/>
      <c r="T866" s="215"/>
      <c r="U866" s="215"/>
      <c r="V866" s="215"/>
      <c r="W866" s="215"/>
      <c r="X866" s="215"/>
      <c r="Y866" s="215"/>
      <c r="Z866" s="215"/>
      <c r="AA866" s="215"/>
      <c r="AB866" s="215"/>
      <c r="AC866" s="215"/>
      <c r="AD866" s="215"/>
      <c r="AE866" s="215"/>
      <c r="AF866" s="215"/>
      <c r="AG866" s="215"/>
      <c r="AH866" s="215"/>
    </row>
    <row r="867" spans="15:34" ht="12">
      <c r="O867" s="215"/>
      <c r="P867" s="215"/>
      <c r="Q867" s="215"/>
      <c r="R867" s="215"/>
      <c r="S867" s="215"/>
      <c r="T867" s="215"/>
      <c r="U867" s="215"/>
      <c r="V867" s="215"/>
      <c r="W867" s="215"/>
      <c r="X867" s="215"/>
      <c r="Y867" s="215"/>
      <c r="Z867" s="215"/>
      <c r="AA867" s="215"/>
      <c r="AB867" s="215"/>
      <c r="AC867" s="215"/>
      <c r="AD867" s="215"/>
      <c r="AE867" s="215"/>
      <c r="AF867" s="215"/>
      <c r="AG867" s="215"/>
      <c r="AH867" s="215"/>
    </row>
    <row r="868" spans="15:34" ht="12">
      <c r="O868" s="215"/>
      <c r="P868" s="215"/>
      <c r="Q868" s="215"/>
      <c r="R868" s="215"/>
      <c r="S868" s="215"/>
      <c r="T868" s="215"/>
      <c r="U868" s="215"/>
      <c r="V868" s="215"/>
      <c r="W868" s="215"/>
      <c r="X868" s="215"/>
      <c r="Y868" s="215"/>
      <c r="Z868" s="215"/>
      <c r="AA868" s="215"/>
      <c r="AB868" s="215"/>
      <c r="AC868" s="215"/>
      <c r="AD868" s="215"/>
      <c r="AE868" s="215"/>
      <c r="AF868" s="215"/>
      <c r="AG868" s="215"/>
      <c r="AH868" s="215"/>
    </row>
    <row r="869" spans="15:34" ht="12">
      <c r="O869" s="215"/>
      <c r="P869" s="215"/>
      <c r="Q869" s="215"/>
      <c r="R869" s="215"/>
      <c r="S869" s="215"/>
      <c r="T869" s="215"/>
      <c r="U869" s="215"/>
      <c r="V869" s="215"/>
      <c r="W869" s="215"/>
      <c r="X869" s="215"/>
      <c r="Y869" s="215"/>
      <c r="Z869" s="215"/>
      <c r="AA869" s="215"/>
      <c r="AB869" s="215"/>
      <c r="AC869" s="215"/>
      <c r="AD869" s="215"/>
      <c r="AE869" s="215"/>
      <c r="AF869" s="215"/>
      <c r="AG869" s="215"/>
      <c r="AH869" s="215"/>
    </row>
    <row r="870" spans="15:34" ht="12">
      <c r="O870" s="215"/>
      <c r="P870" s="215"/>
      <c r="Q870" s="215"/>
      <c r="R870" s="215"/>
      <c r="S870" s="215"/>
      <c r="T870" s="215"/>
      <c r="U870" s="215"/>
      <c r="V870" s="215"/>
      <c r="W870" s="215"/>
      <c r="X870" s="215"/>
      <c r="Y870" s="215"/>
      <c r="Z870" s="215"/>
      <c r="AA870" s="215"/>
      <c r="AB870" s="215"/>
      <c r="AC870" s="215"/>
      <c r="AD870" s="215"/>
      <c r="AE870" s="215"/>
      <c r="AF870" s="215"/>
      <c r="AG870" s="215"/>
      <c r="AH870" s="215"/>
    </row>
    <row r="871" spans="15:34" ht="12">
      <c r="O871" s="215"/>
      <c r="P871" s="215"/>
      <c r="Q871" s="215"/>
      <c r="R871" s="215"/>
      <c r="S871" s="215"/>
      <c r="T871" s="215"/>
      <c r="U871" s="215"/>
      <c r="V871" s="215"/>
      <c r="W871" s="215"/>
      <c r="X871" s="215"/>
      <c r="Y871" s="215"/>
      <c r="Z871" s="215"/>
      <c r="AA871" s="215"/>
      <c r="AB871" s="215"/>
      <c r="AC871" s="215"/>
      <c r="AD871" s="215"/>
      <c r="AE871" s="215"/>
      <c r="AF871" s="215"/>
      <c r="AG871" s="215"/>
      <c r="AH871" s="215"/>
    </row>
    <row r="872" spans="15:34" ht="12">
      <c r="O872" s="215"/>
      <c r="P872" s="215"/>
      <c r="Q872" s="215"/>
      <c r="R872" s="215"/>
      <c r="S872" s="215"/>
      <c r="T872" s="215"/>
      <c r="U872" s="215"/>
      <c r="V872" s="215"/>
      <c r="W872" s="215"/>
      <c r="X872" s="215"/>
      <c r="Y872" s="215"/>
      <c r="Z872" s="215"/>
      <c r="AA872" s="215"/>
      <c r="AB872" s="215"/>
      <c r="AC872" s="215"/>
      <c r="AD872" s="215"/>
      <c r="AE872" s="215"/>
      <c r="AF872" s="215"/>
      <c r="AG872" s="215"/>
      <c r="AH872" s="215"/>
    </row>
    <row r="873" spans="15:34" ht="12">
      <c r="O873" s="215"/>
      <c r="P873" s="215"/>
      <c r="Q873" s="215"/>
      <c r="R873" s="215"/>
      <c r="S873" s="215"/>
      <c r="T873" s="215"/>
      <c r="U873" s="215"/>
      <c r="V873" s="215"/>
      <c r="W873" s="215"/>
      <c r="X873" s="215"/>
      <c r="Y873" s="215"/>
      <c r="Z873" s="215"/>
      <c r="AA873" s="215"/>
      <c r="AB873" s="215"/>
      <c r="AC873" s="215"/>
      <c r="AD873" s="215"/>
      <c r="AE873" s="215"/>
      <c r="AF873" s="215"/>
      <c r="AG873" s="215"/>
      <c r="AH873" s="215"/>
    </row>
    <row r="874" spans="15:34" ht="12">
      <c r="O874" s="215"/>
      <c r="P874" s="215"/>
      <c r="Q874" s="215"/>
      <c r="R874" s="215"/>
      <c r="S874" s="215"/>
      <c r="T874" s="215"/>
      <c r="U874" s="215"/>
      <c r="V874" s="215"/>
      <c r="W874" s="215"/>
      <c r="X874" s="215"/>
      <c r="Y874" s="215"/>
      <c r="Z874" s="215"/>
      <c r="AA874" s="215"/>
      <c r="AB874" s="215"/>
      <c r="AC874" s="215"/>
      <c r="AD874" s="215"/>
      <c r="AE874" s="215"/>
      <c r="AF874" s="215"/>
      <c r="AG874" s="215"/>
      <c r="AH874" s="215"/>
    </row>
    <row r="875" spans="15:34" ht="12">
      <c r="O875" s="215"/>
      <c r="P875" s="215"/>
      <c r="Q875" s="215"/>
      <c r="R875" s="215"/>
      <c r="S875" s="215"/>
      <c r="T875" s="215"/>
      <c r="U875" s="215"/>
      <c r="V875" s="215"/>
      <c r="W875" s="215"/>
      <c r="X875" s="215"/>
      <c r="Y875" s="215"/>
      <c r="Z875" s="215"/>
      <c r="AA875" s="215"/>
      <c r="AB875" s="215"/>
      <c r="AC875" s="215"/>
      <c r="AD875" s="215"/>
      <c r="AE875" s="215"/>
      <c r="AF875" s="215"/>
      <c r="AG875" s="215"/>
      <c r="AH875" s="215"/>
    </row>
    <row r="876" spans="15:34" ht="12">
      <c r="O876" s="215"/>
      <c r="P876" s="215"/>
      <c r="Q876" s="215"/>
      <c r="R876" s="215"/>
      <c r="S876" s="215"/>
      <c r="T876" s="215"/>
      <c r="U876" s="215"/>
      <c r="V876" s="215"/>
      <c r="W876" s="215"/>
      <c r="X876" s="215"/>
      <c r="Y876" s="215"/>
      <c r="Z876" s="215"/>
      <c r="AA876" s="215"/>
      <c r="AB876" s="215"/>
      <c r="AC876" s="215"/>
      <c r="AD876" s="215"/>
      <c r="AE876" s="215"/>
      <c r="AF876" s="215"/>
      <c r="AG876" s="215"/>
      <c r="AH876" s="215"/>
    </row>
    <row r="877" spans="15:34" ht="12">
      <c r="O877" s="215"/>
      <c r="P877" s="215"/>
      <c r="Q877" s="215"/>
      <c r="R877" s="215"/>
      <c r="S877" s="215"/>
      <c r="T877" s="215"/>
      <c r="U877" s="215"/>
      <c r="V877" s="215"/>
      <c r="W877" s="215"/>
      <c r="X877" s="215"/>
      <c r="Y877" s="215"/>
      <c r="Z877" s="215"/>
      <c r="AA877" s="215"/>
      <c r="AB877" s="215"/>
      <c r="AC877" s="215"/>
      <c r="AD877" s="215"/>
      <c r="AE877" s="215"/>
      <c r="AF877" s="215"/>
      <c r="AG877" s="215"/>
      <c r="AH877" s="215"/>
    </row>
    <row r="878" spans="15:34" ht="12">
      <c r="O878" s="215"/>
      <c r="P878" s="215"/>
      <c r="Q878" s="215"/>
      <c r="R878" s="215"/>
      <c r="S878" s="215"/>
      <c r="T878" s="215"/>
      <c r="U878" s="215"/>
      <c r="V878" s="215"/>
      <c r="W878" s="215"/>
      <c r="X878" s="215"/>
      <c r="Y878" s="215"/>
      <c r="Z878" s="215"/>
      <c r="AA878" s="215"/>
      <c r="AB878" s="215"/>
      <c r="AC878" s="215"/>
      <c r="AD878" s="215"/>
      <c r="AE878" s="215"/>
      <c r="AF878" s="215"/>
      <c r="AG878" s="215"/>
      <c r="AH878" s="215"/>
    </row>
    <row r="879" spans="15:34" ht="12">
      <c r="O879" s="215"/>
      <c r="P879" s="215"/>
      <c r="Q879" s="215"/>
      <c r="R879" s="215"/>
      <c r="S879" s="215"/>
      <c r="T879" s="215"/>
      <c r="U879" s="215"/>
      <c r="V879" s="215"/>
      <c r="W879" s="215"/>
      <c r="X879" s="215"/>
      <c r="Y879" s="215"/>
      <c r="Z879" s="215"/>
      <c r="AA879" s="215"/>
      <c r="AB879" s="215"/>
      <c r="AC879" s="215"/>
      <c r="AD879" s="215"/>
      <c r="AE879" s="215"/>
      <c r="AF879" s="215"/>
      <c r="AG879" s="215"/>
      <c r="AH879" s="215"/>
    </row>
    <row r="880" spans="15:34" ht="12">
      <c r="O880" s="215"/>
      <c r="P880" s="215"/>
      <c r="Q880" s="215"/>
      <c r="R880" s="215"/>
      <c r="S880" s="215"/>
      <c r="T880" s="215"/>
      <c r="U880" s="215"/>
      <c r="V880" s="215"/>
      <c r="W880" s="215"/>
      <c r="X880" s="215"/>
      <c r="Y880" s="215"/>
      <c r="Z880" s="215"/>
      <c r="AA880" s="215"/>
      <c r="AB880" s="215"/>
      <c r="AC880" s="215"/>
      <c r="AD880" s="215"/>
      <c r="AE880" s="215"/>
      <c r="AF880" s="215"/>
      <c r="AG880" s="215"/>
      <c r="AH880" s="215"/>
    </row>
    <row r="881" spans="15:34" ht="12">
      <c r="O881" s="215"/>
      <c r="P881" s="215"/>
      <c r="Q881" s="215"/>
      <c r="R881" s="215"/>
      <c r="S881" s="215"/>
      <c r="T881" s="215"/>
      <c r="U881" s="215"/>
      <c r="V881" s="215"/>
      <c r="W881" s="215"/>
      <c r="X881" s="215"/>
      <c r="Y881" s="215"/>
      <c r="Z881" s="215"/>
      <c r="AA881" s="215"/>
      <c r="AB881" s="215"/>
      <c r="AC881" s="215"/>
      <c r="AD881" s="215"/>
      <c r="AE881" s="215"/>
      <c r="AF881" s="215"/>
      <c r="AG881" s="215"/>
      <c r="AH881" s="215"/>
    </row>
    <row r="882" spans="15:34" ht="12">
      <c r="O882" s="215"/>
      <c r="P882" s="215"/>
      <c r="Q882" s="215"/>
      <c r="R882" s="215"/>
      <c r="S882" s="215"/>
      <c r="T882" s="215"/>
      <c r="U882" s="215"/>
      <c r="V882" s="215"/>
      <c r="W882" s="215"/>
      <c r="X882" s="215"/>
      <c r="Y882" s="215"/>
      <c r="Z882" s="215"/>
      <c r="AA882" s="215"/>
      <c r="AB882" s="215"/>
      <c r="AC882" s="215"/>
      <c r="AD882" s="215"/>
      <c r="AE882" s="215"/>
      <c r="AF882" s="215"/>
      <c r="AG882" s="215"/>
      <c r="AH882" s="215"/>
    </row>
    <row r="883" spans="15:34" ht="12">
      <c r="O883" s="215"/>
      <c r="P883" s="215"/>
      <c r="Q883" s="215"/>
      <c r="R883" s="215"/>
      <c r="S883" s="215"/>
      <c r="T883" s="215"/>
      <c r="U883" s="215"/>
      <c r="V883" s="215"/>
      <c r="W883" s="215"/>
      <c r="X883" s="215"/>
      <c r="Y883" s="215"/>
      <c r="Z883" s="215"/>
      <c r="AA883" s="215"/>
      <c r="AB883" s="215"/>
      <c r="AC883" s="215"/>
      <c r="AD883" s="215"/>
      <c r="AE883" s="215"/>
      <c r="AF883" s="215"/>
      <c r="AG883" s="215"/>
      <c r="AH883" s="215"/>
    </row>
    <row r="884" spans="15:34" ht="12">
      <c r="O884" s="215"/>
      <c r="P884" s="215"/>
      <c r="Q884" s="215"/>
      <c r="R884" s="215"/>
      <c r="S884" s="215"/>
      <c r="T884" s="215"/>
      <c r="U884" s="215"/>
      <c r="V884" s="215"/>
      <c r="W884" s="215"/>
      <c r="X884" s="215"/>
      <c r="Y884" s="215"/>
      <c r="Z884" s="215"/>
      <c r="AA884" s="215"/>
      <c r="AB884" s="215"/>
      <c r="AC884" s="215"/>
      <c r="AD884" s="215"/>
      <c r="AE884" s="215"/>
      <c r="AF884" s="215"/>
      <c r="AG884" s="215"/>
      <c r="AH884" s="215"/>
    </row>
    <row r="885" spans="15:34" ht="12">
      <c r="O885" s="215"/>
      <c r="P885" s="215"/>
      <c r="Q885" s="215"/>
      <c r="R885" s="215"/>
      <c r="S885" s="215"/>
      <c r="T885" s="215"/>
      <c r="U885" s="215"/>
      <c r="V885" s="215"/>
      <c r="W885" s="215"/>
      <c r="X885" s="215"/>
      <c r="Y885" s="215"/>
      <c r="Z885" s="215"/>
      <c r="AA885" s="215"/>
      <c r="AB885" s="215"/>
      <c r="AC885" s="215"/>
      <c r="AD885" s="215"/>
      <c r="AE885" s="215"/>
      <c r="AF885" s="215"/>
      <c r="AG885" s="215"/>
      <c r="AH885" s="215"/>
    </row>
    <row r="886" spans="15:34" ht="12">
      <c r="O886" s="215"/>
      <c r="P886" s="215"/>
      <c r="Q886" s="215"/>
      <c r="R886" s="215"/>
      <c r="S886" s="215"/>
      <c r="T886" s="215"/>
      <c r="U886" s="215"/>
      <c r="V886" s="215"/>
      <c r="W886" s="215"/>
      <c r="X886" s="215"/>
      <c r="Y886" s="215"/>
      <c r="Z886" s="215"/>
      <c r="AA886" s="215"/>
      <c r="AB886" s="215"/>
      <c r="AC886" s="215"/>
      <c r="AD886" s="215"/>
      <c r="AE886" s="215"/>
      <c r="AF886" s="215"/>
      <c r="AG886" s="215"/>
      <c r="AH886" s="215"/>
    </row>
    <row r="887" spans="15:34" ht="12">
      <c r="O887" s="215"/>
      <c r="P887" s="215"/>
      <c r="Q887" s="215"/>
      <c r="R887" s="215"/>
      <c r="S887" s="215"/>
      <c r="T887" s="215"/>
      <c r="U887" s="215"/>
      <c r="V887" s="215"/>
      <c r="W887" s="215"/>
      <c r="X887" s="215"/>
      <c r="Y887" s="215"/>
      <c r="Z887" s="215"/>
      <c r="AA887" s="215"/>
      <c r="AB887" s="215"/>
      <c r="AC887" s="215"/>
      <c r="AD887" s="215"/>
      <c r="AE887" s="215"/>
      <c r="AF887" s="215"/>
      <c r="AG887" s="215"/>
      <c r="AH887" s="215"/>
    </row>
    <row r="888" spans="15:34" ht="12">
      <c r="O888" s="215"/>
      <c r="P888" s="215"/>
      <c r="Q888" s="215"/>
      <c r="R888" s="215"/>
      <c r="S888" s="215"/>
      <c r="T888" s="215"/>
      <c r="U888" s="215"/>
      <c r="V888" s="215"/>
      <c r="W888" s="215"/>
      <c r="X888" s="215"/>
      <c r="Y888" s="215"/>
      <c r="Z888" s="215"/>
      <c r="AA888" s="215"/>
      <c r="AB888" s="215"/>
      <c r="AC888" s="215"/>
      <c r="AD888" s="215"/>
      <c r="AE888" s="215"/>
      <c r="AF888" s="215"/>
      <c r="AG888" s="215"/>
      <c r="AH888" s="215"/>
    </row>
    <row r="889" spans="15:34" ht="12">
      <c r="O889" s="215"/>
      <c r="P889" s="215"/>
      <c r="Q889" s="215"/>
      <c r="R889" s="215"/>
      <c r="S889" s="215"/>
      <c r="T889" s="215"/>
      <c r="U889" s="215"/>
      <c r="V889" s="215"/>
      <c r="W889" s="215"/>
      <c r="X889" s="215"/>
      <c r="Y889" s="215"/>
      <c r="Z889" s="215"/>
      <c r="AA889" s="215"/>
      <c r="AB889" s="215"/>
      <c r="AC889" s="215"/>
      <c r="AD889" s="215"/>
      <c r="AE889" s="215"/>
      <c r="AF889" s="215"/>
      <c r="AG889" s="215"/>
      <c r="AH889" s="215"/>
    </row>
    <row r="890" spans="15:34" ht="12">
      <c r="O890" s="215"/>
      <c r="P890" s="215"/>
      <c r="Q890" s="215"/>
      <c r="R890" s="215"/>
      <c r="S890" s="215"/>
      <c r="T890" s="215"/>
      <c r="U890" s="215"/>
      <c r="V890" s="215"/>
      <c r="W890" s="215"/>
      <c r="X890" s="215"/>
      <c r="Y890" s="215"/>
      <c r="Z890" s="215"/>
      <c r="AA890" s="215"/>
      <c r="AB890" s="215"/>
      <c r="AC890" s="215"/>
      <c r="AD890" s="215"/>
      <c r="AE890" s="215"/>
      <c r="AF890" s="215"/>
      <c r="AG890" s="215"/>
      <c r="AH890" s="215"/>
    </row>
    <row r="891" spans="15:34" ht="12">
      <c r="O891" s="215"/>
      <c r="P891" s="215"/>
      <c r="Q891" s="215"/>
      <c r="R891" s="215"/>
      <c r="S891" s="215"/>
      <c r="T891" s="215"/>
      <c r="U891" s="215"/>
      <c r="V891" s="215"/>
      <c r="W891" s="215"/>
      <c r="X891" s="215"/>
      <c r="Y891" s="215"/>
      <c r="Z891" s="215"/>
      <c r="AA891" s="215"/>
      <c r="AB891" s="215"/>
      <c r="AC891" s="215"/>
      <c r="AD891" s="215"/>
      <c r="AE891" s="215"/>
      <c r="AF891" s="215"/>
      <c r="AG891" s="215"/>
      <c r="AH891" s="215"/>
    </row>
    <row r="892" spans="15:34" ht="12">
      <c r="O892" s="215"/>
      <c r="P892" s="215"/>
      <c r="Q892" s="215"/>
      <c r="R892" s="215"/>
      <c r="S892" s="215"/>
      <c r="T892" s="215"/>
      <c r="U892" s="215"/>
      <c r="V892" s="215"/>
      <c r="W892" s="215"/>
      <c r="X892" s="215"/>
      <c r="Y892" s="215"/>
      <c r="Z892" s="215"/>
      <c r="AA892" s="215"/>
      <c r="AB892" s="215"/>
      <c r="AC892" s="215"/>
      <c r="AD892" s="215"/>
      <c r="AE892" s="215"/>
      <c r="AF892" s="215"/>
      <c r="AG892" s="215"/>
      <c r="AH892" s="215"/>
    </row>
    <row r="893" spans="15:34" ht="12">
      <c r="O893" s="215"/>
      <c r="P893" s="215"/>
      <c r="Q893" s="215"/>
      <c r="R893" s="215"/>
      <c r="S893" s="215"/>
      <c r="T893" s="215"/>
      <c r="U893" s="215"/>
      <c r="V893" s="215"/>
      <c r="W893" s="215"/>
      <c r="X893" s="215"/>
      <c r="Y893" s="215"/>
      <c r="Z893" s="215"/>
      <c r="AA893" s="215"/>
      <c r="AB893" s="215"/>
      <c r="AC893" s="215"/>
      <c r="AD893" s="215"/>
      <c r="AE893" s="215"/>
      <c r="AF893" s="215"/>
      <c r="AG893" s="215"/>
      <c r="AH893" s="215"/>
    </row>
    <row r="894" spans="15:34" ht="12">
      <c r="O894" s="215"/>
      <c r="P894" s="215"/>
      <c r="Q894" s="215"/>
      <c r="R894" s="215"/>
      <c r="S894" s="215"/>
      <c r="T894" s="215"/>
      <c r="U894" s="215"/>
      <c r="V894" s="215"/>
      <c r="W894" s="215"/>
      <c r="X894" s="215"/>
      <c r="Y894" s="215"/>
      <c r="Z894" s="215"/>
      <c r="AA894" s="215"/>
      <c r="AB894" s="215"/>
      <c r="AC894" s="215"/>
      <c r="AD894" s="215"/>
      <c r="AE894" s="215"/>
      <c r="AF894" s="215"/>
      <c r="AG894" s="215"/>
      <c r="AH894" s="215"/>
    </row>
    <row r="895" spans="15:34" ht="12">
      <c r="O895" s="215"/>
      <c r="P895" s="215"/>
      <c r="Q895" s="215"/>
      <c r="R895" s="215"/>
      <c r="S895" s="215"/>
      <c r="T895" s="215"/>
      <c r="U895" s="215"/>
      <c r="V895" s="215"/>
      <c r="W895" s="215"/>
      <c r="X895" s="215"/>
      <c r="Y895" s="215"/>
      <c r="Z895" s="215"/>
      <c r="AA895" s="215"/>
      <c r="AB895" s="215"/>
      <c r="AC895" s="215"/>
      <c r="AD895" s="215"/>
      <c r="AE895" s="215"/>
      <c r="AF895" s="215"/>
      <c r="AG895" s="215"/>
      <c r="AH895" s="215"/>
    </row>
    <row r="896" spans="15:34" ht="12">
      <c r="O896" s="215"/>
      <c r="P896" s="215"/>
      <c r="Q896" s="215"/>
      <c r="R896" s="215"/>
      <c r="S896" s="215"/>
      <c r="T896" s="215"/>
      <c r="U896" s="215"/>
      <c r="V896" s="215"/>
      <c r="W896" s="215"/>
      <c r="X896" s="215"/>
      <c r="Y896" s="215"/>
      <c r="Z896" s="215"/>
      <c r="AA896" s="215"/>
      <c r="AB896" s="215"/>
      <c r="AC896" s="215"/>
      <c r="AD896" s="215"/>
      <c r="AE896" s="215"/>
      <c r="AF896" s="215"/>
      <c r="AG896" s="215"/>
      <c r="AH896" s="215"/>
    </row>
    <row r="897" spans="15:34" ht="12">
      <c r="O897" s="215"/>
      <c r="P897" s="215"/>
      <c r="Q897" s="215"/>
      <c r="R897" s="215"/>
      <c r="S897" s="215"/>
      <c r="T897" s="215"/>
      <c r="U897" s="215"/>
      <c r="V897" s="215"/>
      <c r="W897" s="215"/>
      <c r="X897" s="215"/>
      <c r="Y897" s="215"/>
      <c r="Z897" s="215"/>
      <c r="AA897" s="215"/>
      <c r="AB897" s="215"/>
      <c r="AC897" s="215"/>
      <c r="AD897" s="215"/>
      <c r="AE897" s="215"/>
      <c r="AF897" s="215"/>
      <c r="AG897" s="215"/>
      <c r="AH897" s="215"/>
    </row>
    <row r="898" spans="15:34" ht="12">
      <c r="O898" s="215"/>
      <c r="P898" s="215"/>
      <c r="Q898" s="215"/>
      <c r="R898" s="215"/>
      <c r="S898" s="215"/>
      <c r="T898" s="215"/>
      <c r="U898" s="215"/>
      <c r="V898" s="215"/>
      <c r="W898" s="215"/>
      <c r="X898" s="215"/>
      <c r="Y898" s="215"/>
      <c r="Z898" s="215"/>
      <c r="AA898" s="215"/>
      <c r="AB898" s="215"/>
      <c r="AC898" s="215"/>
      <c r="AD898" s="215"/>
      <c r="AE898" s="215"/>
      <c r="AF898" s="215"/>
      <c r="AG898" s="215"/>
      <c r="AH898" s="215"/>
    </row>
    <row r="899" spans="15:34" ht="12">
      <c r="O899" s="215"/>
      <c r="P899" s="215"/>
      <c r="Q899" s="215"/>
      <c r="R899" s="215"/>
      <c r="S899" s="215"/>
      <c r="T899" s="215"/>
      <c r="U899" s="215"/>
      <c r="V899" s="215"/>
      <c r="W899" s="215"/>
      <c r="X899" s="215"/>
      <c r="Y899" s="215"/>
      <c r="Z899" s="215"/>
      <c r="AA899" s="215"/>
      <c r="AB899" s="215"/>
      <c r="AC899" s="215"/>
      <c r="AD899" s="215"/>
      <c r="AE899" s="215"/>
      <c r="AF899" s="215"/>
      <c r="AG899" s="215"/>
      <c r="AH899" s="215"/>
    </row>
    <row r="900" spans="15:34" ht="12">
      <c r="O900" s="215"/>
      <c r="P900" s="215"/>
      <c r="Q900" s="215"/>
      <c r="R900" s="215"/>
      <c r="S900" s="215"/>
      <c r="T900" s="215"/>
      <c r="U900" s="215"/>
      <c r="V900" s="215"/>
      <c r="W900" s="215"/>
      <c r="X900" s="215"/>
      <c r="Y900" s="215"/>
      <c r="Z900" s="215"/>
      <c r="AA900" s="215"/>
      <c r="AB900" s="215"/>
      <c r="AC900" s="215"/>
      <c r="AD900" s="215"/>
      <c r="AE900" s="215"/>
      <c r="AF900" s="215"/>
      <c r="AG900" s="215"/>
      <c r="AH900" s="215"/>
    </row>
    <row r="901" spans="15:34" ht="12">
      <c r="O901" s="215"/>
      <c r="P901" s="215"/>
      <c r="Q901" s="215"/>
      <c r="R901" s="215"/>
      <c r="S901" s="215"/>
      <c r="T901" s="215"/>
      <c r="U901" s="215"/>
      <c r="V901" s="215"/>
      <c r="W901" s="215"/>
      <c r="X901" s="215"/>
      <c r="Y901" s="215"/>
      <c r="Z901" s="215"/>
      <c r="AA901" s="215"/>
      <c r="AB901" s="215"/>
      <c r="AC901" s="215"/>
      <c r="AD901" s="215"/>
      <c r="AE901" s="215"/>
      <c r="AF901" s="215"/>
      <c r="AG901" s="215"/>
      <c r="AH901" s="215"/>
    </row>
    <row r="902" spans="15:34" ht="12">
      <c r="O902" s="215"/>
      <c r="P902" s="215"/>
      <c r="Q902" s="215"/>
      <c r="R902" s="215"/>
      <c r="S902" s="215"/>
      <c r="T902" s="215"/>
      <c r="U902" s="215"/>
      <c r="V902" s="215"/>
      <c r="W902" s="215"/>
      <c r="X902" s="215"/>
      <c r="Y902" s="215"/>
      <c r="Z902" s="215"/>
      <c r="AA902" s="215"/>
      <c r="AB902" s="215"/>
      <c r="AC902" s="215"/>
      <c r="AD902" s="215"/>
      <c r="AE902" s="215"/>
      <c r="AF902" s="215"/>
      <c r="AG902" s="215"/>
      <c r="AH902" s="215"/>
    </row>
    <row r="903" spans="15:34" ht="12">
      <c r="O903" s="215"/>
      <c r="P903" s="215"/>
      <c r="Q903" s="215"/>
      <c r="R903" s="215"/>
      <c r="S903" s="215"/>
      <c r="T903" s="215"/>
      <c r="U903" s="215"/>
      <c r="V903" s="215"/>
      <c r="W903" s="215"/>
      <c r="X903" s="215"/>
      <c r="Y903" s="215"/>
      <c r="Z903" s="215"/>
      <c r="AA903" s="215"/>
      <c r="AB903" s="215"/>
      <c r="AC903" s="215"/>
      <c r="AD903" s="215"/>
      <c r="AE903" s="215"/>
      <c r="AF903" s="215"/>
      <c r="AG903" s="215"/>
      <c r="AH903" s="215"/>
    </row>
    <row r="904" spans="15:34" ht="12">
      <c r="O904" s="215"/>
      <c r="P904" s="215"/>
      <c r="Q904" s="215"/>
      <c r="R904" s="215"/>
      <c r="S904" s="215"/>
      <c r="T904" s="215"/>
      <c r="U904" s="215"/>
      <c r="V904" s="215"/>
      <c r="W904" s="215"/>
      <c r="X904" s="215"/>
      <c r="Y904" s="215"/>
      <c r="Z904" s="215"/>
      <c r="AA904" s="215"/>
      <c r="AB904" s="215"/>
      <c r="AC904" s="215"/>
      <c r="AD904" s="215"/>
      <c r="AE904" s="215"/>
      <c r="AF904" s="215"/>
      <c r="AG904" s="215"/>
      <c r="AH904" s="215"/>
    </row>
    <row r="905" spans="15:34" ht="12">
      <c r="O905" s="215"/>
      <c r="P905" s="215"/>
      <c r="Q905" s="215"/>
      <c r="R905" s="215"/>
      <c r="S905" s="215"/>
      <c r="T905" s="215"/>
      <c r="U905" s="215"/>
      <c r="V905" s="215"/>
      <c r="W905" s="215"/>
      <c r="X905" s="215"/>
      <c r="Y905" s="215"/>
      <c r="Z905" s="215"/>
      <c r="AA905" s="215"/>
      <c r="AB905" s="215"/>
      <c r="AC905" s="215"/>
      <c r="AD905" s="215"/>
      <c r="AE905" s="215"/>
      <c r="AF905" s="215"/>
      <c r="AG905" s="215"/>
      <c r="AH905" s="215"/>
    </row>
    <row r="906" spans="15:34" ht="12">
      <c r="O906" s="215"/>
      <c r="P906" s="215"/>
      <c r="Q906" s="215"/>
      <c r="R906" s="215"/>
      <c r="S906" s="215"/>
      <c r="T906" s="215"/>
      <c r="U906" s="215"/>
      <c r="V906" s="215"/>
      <c r="W906" s="215"/>
      <c r="X906" s="215"/>
      <c r="Y906" s="215"/>
      <c r="Z906" s="215"/>
      <c r="AA906" s="215"/>
      <c r="AB906" s="215"/>
      <c r="AC906" s="215"/>
      <c r="AD906" s="215"/>
      <c r="AE906" s="215"/>
      <c r="AF906" s="215"/>
      <c r="AG906" s="215"/>
      <c r="AH906" s="215"/>
    </row>
    <row r="907" spans="15:34" ht="12">
      <c r="O907" s="215"/>
      <c r="P907" s="215"/>
      <c r="Q907" s="215"/>
      <c r="R907" s="215"/>
      <c r="S907" s="215"/>
      <c r="T907" s="215"/>
      <c r="U907" s="215"/>
      <c r="V907" s="215"/>
      <c r="W907" s="215"/>
      <c r="X907" s="215"/>
      <c r="Y907" s="215"/>
      <c r="Z907" s="215"/>
      <c r="AA907" s="215"/>
      <c r="AB907" s="215"/>
      <c r="AC907" s="215"/>
      <c r="AD907" s="215"/>
      <c r="AE907" s="215"/>
      <c r="AF907" s="215"/>
      <c r="AG907" s="215"/>
      <c r="AH907" s="215"/>
    </row>
    <row r="908" spans="15:34" ht="12">
      <c r="O908" s="215"/>
      <c r="P908" s="215"/>
      <c r="Q908" s="215"/>
      <c r="R908" s="215"/>
      <c r="S908" s="215"/>
      <c r="T908" s="215"/>
      <c r="U908" s="215"/>
      <c r="V908" s="215"/>
      <c r="W908" s="215"/>
      <c r="X908" s="215"/>
      <c r="Y908" s="215"/>
      <c r="Z908" s="215"/>
      <c r="AA908" s="215"/>
      <c r="AB908" s="215"/>
      <c r="AC908" s="215"/>
      <c r="AD908" s="215"/>
      <c r="AE908" s="215"/>
      <c r="AF908" s="215"/>
      <c r="AG908" s="215"/>
      <c r="AH908" s="215"/>
    </row>
    <row r="909" spans="15:34" ht="12">
      <c r="O909" s="215"/>
      <c r="P909" s="215"/>
      <c r="Q909" s="215"/>
      <c r="R909" s="215"/>
      <c r="S909" s="215"/>
      <c r="T909" s="215"/>
      <c r="U909" s="215"/>
      <c r="V909" s="215"/>
      <c r="W909" s="215"/>
      <c r="X909" s="215"/>
      <c r="Y909" s="215"/>
      <c r="Z909" s="215"/>
      <c r="AA909" s="215"/>
      <c r="AB909" s="215"/>
      <c r="AC909" s="215"/>
      <c r="AD909" s="215"/>
      <c r="AE909" s="215"/>
      <c r="AF909" s="215"/>
      <c r="AG909" s="215"/>
      <c r="AH909" s="215"/>
    </row>
    <row r="910" spans="15:34" ht="12">
      <c r="O910" s="215"/>
      <c r="P910" s="215"/>
      <c r="Q910" s="215"/>
      <c r="R910" s="215"/>
      <c r="S910" s="215"/>
      <c r="T910" s="215"/>
      <c r="U910" s="215"/>
      <c r="V910" s="215"/>
      <c r="W910" s="215"/>
      <c r="X910" s="215"/>
      <c r="Y910" s="215"/>
      <c r="Z910" s="215"/>
      <c r="AA910" s="215"/>
      <c r="AB910" s="215"/>
      <c r="AC910" s="215"/>
      <c r="AD910" s="215"/>
      <c r="AE910" s="215"/>
      <c r="AF910" s="215"/>
      <c r="AG910" s="215"/>
      <c r="AH910" s="215"/>
    </row>
    <row r="911" spans="15:34" ht="12">
      <c r="O911" s="215"/>
      <c r="P911" s="215"/>
      <c r="Q911" s="215"/>
      <c r="R911" s="215"/>
      <c r="S911" s="215"/>
      <c r="T911" s="215"/>
      <c r="U911" s="215"/>
      <c r="V911" s="215"/>
      <c r="W911" s="215"/>
      <c r="X911" s="215"/>
      <c r="Y911" s="215"/>
      <c r="Z911" s="215"/>
      <c r="AA911" s="215"/>
      <c r="AB911" s="215"/>
      <c r="AC911" s="215"/>
      <c r="AD911" s="215"/>
      <c r="AE911" s="215"/>
      <c r="AF911" s="215"/>
      <c r="AG911" s="215"/>
      <c r="AH911" s="215"/>
    </row>
    <row r="912" spans="15:34" ht="12">
      <c r="O912" s="215"/>
      <c r="P912" s="215"/>
      <c r="Q912" s="215"/>
      <c r="R912" s="215"/>
      <c r="S912" s="215"/>
      <c r="T912" s="215"/>
      <c r="U912" s="215"/>
      <c r="V912" s="215"/>
      <c r="W912" s="215"/>
      <c r="X912" s="215"/>
      <c r="Y912" s="215"/>
      <c r="Z912" s="215"/>
      <c r="AA912" s="215"/>
      <c r="AB912" s="215"/>
      <c r="AC912" s="215"/>
      <c r="AD912" s="215"/>
      <c r="AE912" s="215"/>
      <c r="AF912" s="215"/>
      <c r="AG912" s="215"/>
      <c r="AH912" s="215"/>
    </row>
    <row r="913" spans="15:34" ht="12">
      <c r="O913" s="215"/>
      <c r="P913" s="215"/>
      <c r="Q913" s="215"/>
      <c r="R913" s="215"/>
      <c r="S913" s="215"/>
      <c r="T913" s="215"/>
      <c r="U913" s="215"/>
      <c r="V913" s="215"/>
      <c r="W913" s="215"/>
      <c r="X913" s="215"/>
      <c r="Y913" s="215"/>
      <c r="Z913" s="215"/>
      <c r="AA913" s="215"/>
      <c r="AB913" s="215"/>
      <c r="AC913" s="215"/>
      <c r="AD913" s="215"/>
      <c r="AE913" s="215"/>
      <c r="AF913" s="215"/>
      <c r="AG913" s="215"/>
      <c r="AH913" s="215"/>
    </row>
    <row r="914" spans="15:34" ht="12">
      <c r="O914" s="215"/>
      <c r="P914" s="215"/>
      <c r="Q914" s="215"/>
      <c r="R914" s="215"/>
      <c r="S914" s="215"/>
      <c r="T914" s="215"/>
      <c r="U914" s="215"/>
      <c r="V914" s="215"/>
      <c r="W914" s="215"/>
      <c r="X914" s="215"/>
      <c r="Y914" s="215"/>
      <c r="Z914" s="215"/>
      <c r="AA914" s="215"/>
      <c r="AB914" s="215"/>
      <c r="AC914" s="215"/>
      <c r="AD914" s="215"/>
      <c r="AE914" s="215"/>
      <c r="AF914" s="215"/>
      <c r="AG914" s="215"/>
      <c r="AH914" s="215"/>
    </row>
    <row r="915" spans="15:34" ht="12">
      <c r="O915" s="215"/>
      <c r="P915" s="215"/>
      <c r="Q915" s="215"/>
      <c r="R915" s="215"/>
      <c r="S915" s="215"/>
      <c r="T915" s="215"/>
      <c r="U915" s="215"/>
      <c r="V915" s="215"/>
      <c r="W915" s="215"/>
      <c r="X915" s="215"/>
      <c r="Y915" s="215"/>
      <c r="Z915" s="215"/>
      <c r="AA915" s="215"/>
      <c r="AB915" s="215"/>
      <c r="AC915" s="215"/>
      <c r="AD915" s="215"/>
      <c r="AE915" s="215"/>
      <c r="AF915" s="215"/>
      <c r="AG915" s="215"/>
      <c r="AH915" s="215"/>
    </row>
    <row r="916" spans="15:34" ht="12">
      <c r="O916" s="215"/>
      <c r="P916" s="215"/>
      <c r="Q916" s="215"/>
      <c r="R916" s="215"/>
      <c r="S916" s="215"/>
      <c r="T916" s="215"/>
      <c r="U916" s="215"/>
      <c r="V916" s="215"/>
      <c r="W916" s="215"/>
      <c r="X916" s="215"/>
      <c r="Y916" s="215"/>
      <c r="Z916" s="215"/>
      <c r="AA916" s="215"/>
      <c r="AB916" s="215"/>
      <c r="AC916" s="215"/>
      <c r="AD916" s="215"/>
      <c r="AE916" s="215"/>
      <c r="AF916" s="215"/>
      <c r="AG916" s="215"/>
      <c r="AH916" s="215"/>
    </row>
    <row r="917" spans="15:34" ht="12">
      <c r="O917" s="215"/>
      <c r="P917" s="215"/>
      <c r="Q917" s="215"/>
      <c r="R917" s="215"/>
      <c r="S917" s="215"/>
      <c r="T917" s="215"/>
      <c r="U917" s="215"/>
      <c r="V917" s="215"/>
      <c r="W917" s="215"/>
      <c r="X917" s="215"/>
      <c r="Y917" s="215"/>
      <c r="Z917" s="215"/>
      <c r="AA917" s="215"/>
      <c r="AB917" s="215"/>
      <c r="AC917" s="215"/>
      <c r="AD917" s="215"/>
      <c r="AE917" s="215"/>
      <c r="AF917" s="215"/>
      <c r="AG917" s="215"/>
      <c r="AH917" s="215"/>
    </row>
    <row r="918" spans="15:34" ht="12">
      <c r="O918" s="215"/>
      <c r="P918" s="215"/>
      <c r="Q918" s="215"/>
      <c r="R918" s="215"/>
      <c r="S918" s="215"/>
      <c r="T918" s="215"/>
      <c r="U918" s="215"/>
      <c r="V918" s="215"/>
      <c r="W918" s="215"/>
      <c r="X918" s="215"/>
      <c r="Y918" s="215"/>
      <c r="Z918" s="215"/>
      <c r="AA918" s="215"/>
      <c r="AB918" s="215"/>
      <c r="AC918" s="215"/>
      <c r="AD918" s="215"/>
      <c r="AE918" s="215"/>
      <c r="AF918" s="215"/>
      <c r="AG918" s="215"/>
      <c r="AH918" s="215"/>
    </row>
    <row r="919" spans="15:34" ht="12">
      <c r="O919" s="215"/>
      <c r="P919" s="215"/>
      <c r="Q919" s="215"/>
      <c r="R919" s="215"/>
      <c r="S919" s="215"/>
      <c r="T919" s="215"/>
      <c r="U919" s="215"/>
      <c r="V919" s="215"/>
      <c r="W919" s="215"/>
      <c r="X919" s="215"/>
      <c r="Y919" s="215"/>
      <c r="Z919" s="215"/>
      <c r="AA919" s="215"/>
      <c r="AB919" s="215"/>
      <c r="AC919" s="215"/>
      <c r="AD919" s="215"/>
      <c r="AE919" s="215"/>
      <c r="AF919" s="215"/>
      <c r="AG919" s="215"/>
      <c r="AH919" s="215"/>
    </row>
    <row r="920" spans="15:34" ht="12">
      <c r="O920" s="215"/>
      <c r="P920" s="215"/>
      <c r="Q920" s="215"/>
      <c r="R920" s="215"/>
      <c r="S920" s="215"/>
      <c r="T920" s="215"/>
      <c r="U920" s="215"/>
      <c r="V920" s="215"/>
      <c r="W920" s="215"/>
      <c r="X920" s="215"/>
      <c r="Y920" s="215"/>
      <c r="Z920" s="215"/>
      <c r="AA920" s="215"/>
      <c r="AB920" s="215"/>
      <c r="AC920" s="215"/>
      <c r="AD920" s="215"/>
      <c r="AE920" s="215"/>
      <c r="AF920" s="215"/>
      <c r="AG920" s="215"/>
      <c r="AH920" s="215"/>
    </row>
    <row r="921" spans="15:34" ht="12">
      <c r="O921" s="215"/>
      <c r="P921" s="215"/>
      <c r="Q921" s="215"/>
      <c r="R921" s="215"/>
      <c r="S921" s="215"/>
      <c r="T921" s="215"/>
      <c r="U921" s="215"/>
      <c r="V921" s="215"/>
      <c r="W921" s="215"/>
      <c r="X921" s="215"/>
      <c r="Y921" s="215"/>
      <c r="Z921" s="215"/>
      <c r="AA921" s="215"/>
      <c r="AB921" s="215"/>
      <c r="AC921" s="215"/>
      <c r="AD921" s="215"/>
      <c r="AE921" s="215"/>
      <c r="AF921" s="215"/>
      <c r="AG921" s="215"/>
      <c r="AH921" s="215"/>
    </row>
    <row r="922" spans="15:34" ht="12">
      <c r="O922" s="215"/>
      <c r="P922" s="215"/>
      <c r="Q922" s="215"/>
      <c r="R922" s="215"/>
      <c r="S922" s="215"/>
      <c r="T922" s="215"/>
      <c r="U922" s="215"/>
      <c r="V922" s="215"/>
      <c r="W922" s="215"/>
      <c r="X922" s="215"/>
      <c r="Y922" s="215"/>
      <c r="Z922" s="215"/>
      <c r="AA922" s="215"/>
      <c r="AB922" s="215"/>
      <c r="AC922" s="215"/>
      <c r="AD922" s="215"/>
      <c r="AE922" s="215"/>
      <c r="AF922" s="215"/>
      <c r="AG922" s="215"/>
      <c r="AH922" s="215"/>
    </row>
    <row r="923" spans="15:34" ht="12">
      <c r="O923" s="215"/>
      <c r="P923" s="215"/>
      <c r="Q923" s="215"/>
      <c r="R923" s="215"/>
      <c r="S923" s="215"/>
      <c r="T923" s="215"/>
      <c r="U923" s="215"/>
      <c r="V923" s="215"/>
      <c r="W923" s="215"/>
      <c r="X923" s="215"/>
      <c r="Y923" s="215"/>
      <c r="Z923" s="215"/>
      <c r="AA923" s="215"/>
      <c r="AB923" s="215"/>
      <c r="AC923" s="215"/>
      <c r="AD923" s="215"/>
      <c r="AE923" s="215"/>
      <c r="AF923" s="215"/>
      <c r="AG923" s="215"/>
      <c r="AH923" s="215"/>
    </row>
    <row r="924" spans="15:34" ht="12">
      <c r="O924" s="215"/>
      <c r="P924" s="215"/>
      <c r="Q924" s="215"/>
      <c r="R924" s="215"/>
      <c r="S924" s="215"/>
      <c r="T924" s="215"/>
      <c r="U924" s="215"/>
      <c r="V924" s="215"/>
      <c r="W924" s="215"/>
      <c r="X924" s="215"/>
      <c r="Y924" s="215"/>
      <c r="Z924" s="215"/>
      <c r="AA924" s="215"/>
      <c r="AB924" s="215"/>
      <c r="AC924" s="215"/>
      <c r="AD924" s="215"/>
      <c r="AE924" s="215"/>
      <c r="AF924" s="215"/>
      <c r="AG924" s="215"/>
      <c r="AH924" s="215"/>
    </row>
    <row r="925" spans="15:34" ht="12">
      <c r="O925" s="215"/>
      <c r="P925" s="215"/>
      <c r="Q925" s="215"/>
      <c r="R925" s="215"/>
      <c r="S925" s="215"/>
      <c r="T925" s="215"/>
      <c r="U925" s="215"/>
      <c r="V925" s="215"/>
      <c r="W925" s="215"/>
      <c r="X925" s="215"/>
      <c r="Y925" s="215"/>
      <c r="Z925" s="215"/>
      <c r="AA925" s="215"/>
      <c r="AB925" s="215"/>
      <c r="AC925" s="215"/>
      <c r="AD925" s="215"/>
      <c r="AE925" s="215"/>
      <c r="AF925" s="215"/>
      <c r="AG925" s="215"/>
      <c r="AH925" s="215"/>
    </row>
    <row r="926" spans="15:34" ht="12">
      <c r="O926" s="215"/>
      <c r="P926" s="215"/>
      <c r="Q926" s="215"/>
      <c r="R926" s="215"/>
      <c r="S926" s="215"/>
      <c r="T926" s="215"/>
      <c r="U926" s="215"/>
      <c r="V926" s="215"/>
      <c r="W926" s="215"/>
      <c r="X926" s="215"/>
      <c r="Y926" s="215"/>
      <c r="Z926" s="215"/>
      <c r="AA926" s="215"/>
      <c r="AB926" s="215"/>
      <c r="AC926" s="215"/>
      <c r="AD926" s="215"/>
      <c r="AE926" s="215"/>
      <c r="AF926" s="215"/>
      <c r="AG926" s="215"/>
      <c r="AH926" s="215"/>
    </row>
    <row r="927" spans="15:34" ht="12">
      <c r="O927" s="215"/>
      <c r="P927" s="215"/>
      <c r="Q927" s="215"/>
      <c r="R927" s="215"/>
      <c r="S927" s="215"/>
      <c r="T927" s="215"/>
      <c r="U927" s="215"/>
      <c r="V927" s="215"/>
      <c r="W927" s="215"/>
      <c r="X927" s="215"/>
      <c r="Y927" s="215"/>
      <c r="Z927" s="215"/>
      <c r="AA927" s="215"/>
      <c r="AB927" s="215"/>
      <c r="AC927" s="215"/>
      <c r="AD927" s="215"/>
      <c r="AE927" s="215"/>
      <c r="AF927" s="215"/>
      <c r="AG927" s="215"/>
      <c r="AH927" s="215"/>
    </row>
    <row r="928" spans="15:34" ht="12">
      <c r="O928" s="215"/>
      <c r="P928" s="215"/>
      <c r="Q928" s="215"/>
      <c r="R928" s="215"/>
      <c r="S928" s="215"/>
      <c r="T928" s="215"/>
      <c r="U928" s="215"/>
      <c r="V928" s="215"/>
      <c r="W928" s="215"/>
      <c r="X928" s="215"/>
      <c r="Y928" s="215"/>
      <c r="Z928" s="215"/>
      <c r="AA928" s="215"/>
      <c r="AB928" s="215"/>
      <c r="AC928" s="215"/>
      <c r="AD928" s="215"/>
      <c r="AE928" s="215"/>
      <c r="AF928" s="215"/>
      <c r="AG928" s="215"/>
      <c r="AH928" s="215"/>
    </row>
    <row r="929" spans="15:34" ht="12">
      <c r="O929" s="215"/>
      <c r="P929" s="215"/>
      <c r="Q929" s="215"/>
      <c r="R929" s="215"/>
      <c r="S929" s="215"/>
      <c r="T929" s="215"/>
      <c r="U929" s="215"/>
      <c r="V929" s="215"/>
      <c r="W929" s="215"/>
      <c r="X929" s="215"/>
      <c r="Y929" s="215"/>
      <c r="Z929" s="215"/>
      <c r="AA929" s="215"/>
      <c r="AB929" s="215"/>
      <c r="AC929" s="215"/>
      <c r="AD929" s="215"/>
      <c r="AE929" s="215"/>
      <c r="AF929" s="215"/>
      <c r="AG929" s="215"/>
      <c r="AH929" s="215"/>
    </row>
    <row r="930" spans="15:34" ht="12">
      <c r="O930" s="215"/>
      <c r="P930" s="215"/>
      <c r="Q930" s="215"/>
      <c r="R930" s="215"/>
      <c r="S930" s="215"/>
      <c r="T930" s="215"/>
      <c r="U930" s="215"/>
      <c r="V930" s="215"/>
      <c r="W930" s="215"/>
      <c r="X930" s="215"/>
      <c r="Y930" s="215"/>
      <c r="Z930" s="215"/>
      <c r="AA930" s="215"/>
      <c r="AB930" s="215"/>
      <c r="AC930" s="215"/>
      <c r="AD930" s="215"/>
      <c r="AE930" s="215"/>
      <c r="AF930" s="215"/>
      <c r="AG930" s="215"/>
      <c r="AH930" s="215"/>
    </row>
    <row r="931" spans="15:34" ht="12">
      <c r="O931" s="215"/>
      <c r="P931" s="215"/>
      <c r="Q931" s="215"/>
      <c r="R931" s="215"/>
      <c r="S931" s="215"/>
      <c r="T931" s="215"/>
      <c r="U931" s="215"/>
      <c r="V931" s="215"/>
      <c r="W931" s="215"/>
      <c r="X931" s="215"/>
      <c r="Y931" s="215"/>
      <c r="Z931" s="215"/>
      <c r="AA931" s="215"/>
      <c r="AB931" s="215"/>
      <c r="AC931" s="215"/>
      <c r="AD931" s="215"/>
      <c r="AE931" s="215"/>
      <c r="AF931" s="215"/>
      <c r="AG931" s="215"/>
      <c r="AH931" s="215"/>
    </row>
    <row r="932" spans="15:34" ht="12">
      <c r="O932" s="215"/>
      <c r="P932" s="215"/>
      <c r="Q932" s="215"/>
      <c r="R932" s="215"/>
      <c r="S932" s="215"/>
      <c r="T932" s="215"/>
      <c r="U932" s="215"/>
      <c r="V932" s="215"/>
      <c r="W932" s="215"/>
      <c r="X932" s="215"/>
      <c r="Y932" s="215"/>
      <c r="Z932" s="215"/>
      <c r="AA932" s="215"/>
      <c r="AB932" s="215"/>
      <c r="AC932" s="215"/>
      <c r="AD932" s="215"/>
      <c r="AE932" s="215"/>
      <c r="AF932" s="215"/>
      <c r="AG932" s="215"/>
      <c r="AH932" s="215"/>
    </row>
    <row r="933" spans="15:34" ht="12">
      <c r="O933" s="215"/>
      <c r="P933" s="215"/>
      <c r="Q933" s="215"/>
      <c r="R933" s="215"/>
      <c r="S933" s="215"/>
      <c r="T933" s="215"/>
      <c r="U933" s="215"/>
      <c r="V933" s="215"/>
      <c r="W933" s="215"/>
      <c r="X933" s="215"/>
      <c r="Y933" s="215"/>
      <c r="Z933" s="215"/>
      <c r="AA933" s="215"/>
      <c r="AB933" s="215"/>
      <c r="AC933" s="215"/>
      <c r="AD933" s="215"/>
      <c r="AE933" s="215"/>
      <c r="AF933" s="215"/>
      <c r="AG933" s="215"/>
      <c r="AH933" s="215"/>
    </row>
    <row r="934" spans="15:34" ht="12">
      <c r="O934" s="215"/>
      <c r="P934" s="215"/>
      <c r="Q934" s="215"/>
      <c r="R934" s="215"/>
      <c r="S934" s="215"/>
      <c r="T934" s="215"/>
      <c r="U934" s="215"/>
      <c r="V934" s="215"/>
      <c r="W934" s="215"/>
      <c r="X934" s="215"/>
      <c r="Y934" s="215"/>
      <c r="Z934" s="215"/>
      <c r="AA934" s="215"/>
      <c r="AB934" s="215"/>
      <c r="AC934" s="215"/>
      <c r="AD934" s="215"/>
      <c r="AE934" s="215"/>
      <c r="AF934" s="215"/>
      <c r="AG934" s="215"/>
      <c r="AH934" s="215"/>
    </row>
    <row r="935" spans="15:34" ht="12">
      <c r="O935" s="215"/>
      <c r="P935" s="215"/>
      <c r="Q935" s="215"/>
      <c r="R935" s="215"/>
      <c r="S935" s="215"/>
      <c r="T935" s="215"/>
      <c r="U935" s="215"/>
      <c r="V935" s="215"/>
      <c r="W935" s="215"/>
      <c r="X935" s="215"/>
      <c r="Y935" s="215"/>
      <c r="Z935" s="215"/>
      <c r="AA935" s="215"/>
      <c r="AB935" s="215"/>
      <c r="AC935" s="215"/>
      <c r="AD935" s="215"/>
      <c r="AE935" s="215"/>
      <c r="AF935" s="215"/>
      <c r="AG935" s="215"/>
      <c r="AH935" s="215"/>
    </row>
    <row r="936" spans="15:34" ht="12">
      <c r="O936" s="215"/>
      <c r="P936" s="215"/>
      <c r="Q936" s="215"/>
      <c r="R936" s="215"/>
      <c r="S936" s="215"/>
      <c r="T936" s="215"/>
      <c r="U936" s="215"/>
      <c r="V936" s="215"/>
      <c r="W936" s="215"/>
      <c r="X936" s="215"/>
      <c r="Y936" s="215"/>
      <c r="Z936" s="215"/>
      <c r="AA936" s="215"/>
      <c r="AB936" s="215"/>
      <c r="AC936" s="215"/>
      <c r="AD936" s="215"/>
      <c r="AE936" s="215"/>
      <c r="AF936" s="215"/>
      <c r="AG936" s="215"/>
      <c r="AH936" s="215"/>
    </row>
    <row r="937" spans="15:34" ht="12">
      <c r="O937" s="215"/>
      <c r="P937" s="215"/>
      <c r="Q937" s="215"/>
      <c r="R937" s="215"/>
      <c r="S937" s="215"/>
      <c r="T937" s="215"/>
      <c r="U937" s="215"/>
      <c r="V937" s="215"/>
      <c r="W937" s="215"/>
      <c r="X937" s="215"/>
      <c r="Y937" s="215"/>
      <c r="Z937" s="215"/>
      <c r="AA937" s="215"/>
      <c r="AB937" s="215"/>
      <c r="AC937" s="215"/>
      <c r="AD937" s="215"/>
      <c r="AE937" s="215"/>
      <c r="AF937" s="215"/>
      <c r="AG937" s="215"/>
      <c r="AH937" s="215"/>
    </row>
    <row r="938" spans="15:34" ht="12">
      <c r="O938" s="215"/>
      <c r="P938" s="215"/>
      <c r="Q938" s="215"/>
      <c r="R938" s="215"/>
      <c r="S938" s="215"/>
      <c r="T938" s="215"/>
      <c r="U938" s="215"/>
      <c r="V938" s="215"/>
      <c r="W938" s="215"/>
      <c r="X938" s="215"/>
      <c r="Y938" s="215"/>
      <c r="Z938" s="215"/>
      <c r="AA938" s="215"/>
      <c r="AB938" s="215"/>
      <c r="AC938" s="215"/>
      <c r="AD938" s="215"/>
      <c r="AE938" s="215"/>
      <c r="AF938" s="215"/>
      <c r="AG938" s="215"/>
      <c r="AH938" s="215"/>
    </row>
    <row r="939" spans="15:34" ht="12">
      <c r="O939" s="215"/>
      <c r="P939" s="215"/>
      <c r="Q939" s="215"/>
      <c r="R939" s="215"/>
      <c r="S939" s="215"/>
      <c r="T939" s="215"/>
      <c r="U939" s="215"/>
      <c r="V939" s="215"/>
      <c r="W939" s="215"/>
      <c r="X939" s="215"/>
      <c r="Y939" s="215"/>
      <c r="Z939" s="215"/>
      <c r="AA939" s="215"/>
      <c r="AB939" s="215"/>
      <c r="AC939" s="215"/>
      <c r="AD939" s="215"/>
      <c r="AE939" s="215"/>
      <c r="AF939" s="215"/>
      <c r="AG939" s="215"/>
      <c r="AH939" s="215"/>
    </row>
    <row r="940" spans="15:34" ht="12">
      <c r="O940" s="215"/>
      <c r="P940" s="215"/>
      <c r="Q940" s="215"/>
      <c r="R940" s="215"/>
      <c r="S940" s="215"/>
      <c r="T940" s="215"/>
      <c r="U940" s="215"/>
      <c r="V940" s="215"/>
      <c r="W940" s="215"/>
      <c r="X940" s="215"/>
      <c r="Y940" s="215"/>
      <c r="Z940" s="215"/>
      <c r="AA940" s="215"/>
      <c r="AB940" s="215"/>
      <c r="AC940" s="215"/>
      <c r="AD940" s="215"/>
      <c r="AE940" s="215"/>
      <c r="AF940" s="215"/>
      <c r="AG940" s="215"/>
      <c r="AH940" s="215"/>
    </row>
    <row r="941" spans="15:34" ht="12">
      <c r="O941" s="215"/>
      <c r="P941" s="215"/>
      <c r="Q941" s="215"/>
      <c r="R941" s="215"/>
      <c r="S941" s="215"/>
      <c r="T941" s="215"/>
      <c r="U941" s="215"/>
      <c r="V941" s="215"/>
      <c r="W941" s="215"/>
      <c r="X941" s="215"/>
      <c r="Y941" s="215"/>
      <c r="Z941" s="215"/>
      <c r="AA941" s="215"/>
      <c r="AB941" s="215"/>
      <c r="AC941" s="215"/>
      <c r="AD941" s="215"/>
      <c r="AE941" s="215"/>
      <c r="AF941" s="215"/>
      <c r="AG941" s="215"/>
      <c r="AH941" s="215"/>
    </row>
    <row r="942" spans="15:34" ht="12">
      <c r="O942" s="215"/>
      <c r="P942" s="215"/>
      <c r="Q942" s="215"/>
      <c r="R942" s="215"/>
      <c r="S942" s="215"/>
      <c r="T942" s="215"/>
      <c r="U942" s="215"/>
      <c r="V942" s="215"/>
      <c r="W942" s="215"/>
      <c r="X942" s="215"/>
      <c r="Y942" s="215"/>
      <c r="Z942" s="215"/>
      <c r="AA942" s="215"/>
      <c r="AB942" s="215"/>
      <c r="AC942" s="215"/>
      <c r="AD942" s="215"/>
      <c r="AE942" s="215"/>
      <c r="AF942" s="215"/>
      <c r="AG942" s="215"/>
      <c r="AH942" s="215"/>
    </row>
    <row r="943" spans="15:34" ht="12">
      <c r="O943" s="215"/>
      <c r="P943" s="215"/>
      <c r="Q943" s="215"/>
      <c r="R943" s="215"/>
      <c r="S943" s="215"/>
      <c r="T943" s="215"/>
      <c r="U943" s="215"/>
      <c r="V943" s="215"/>
      <c r="W943" s="215"/>
      <c r="X943" s="215"/>
      <c r="Y943" s="215"/>
      <c r="Z943" s="215"/>
      <c r="AA943" s="215"/>
      <c r="AB943" s="215"/>
      <c r="AC943" s="215"/>
      <c r="AD943" s="215"/>
      <c r="AE943" s="215"/>
      <c r="AF943" s="215"/>
      <c r="AG943" s="215"/>
      <c r="AH943" s="215"/>
    </row>
    <row r="944" spans="15:34" ht="12">
      <c r="O944" s="215"/>
      <c r="P944" s="215"/>
      <c r="Q944" s="215"/>
      <c r="R944" s="215"/>
      <c r="S944" s="215"/>
      <c r="T944" s="215"/>
      <c r="U944" s="215"/>
      <c r="V944" s="215"/>
      <c r="W944" s="215"/>
      <c r="X944" s="215"/>
      <c r="Y944" s="215"/>
      <c r="Z944" s="215"/>
      <c r="AA944" s="215"/>
      <c r="AB944" s="215"/>
      <c r="AC944" s="215"/>
      <c r="AD944" s="215"/>
      <c r="AE944" s="215"/>
      <c r="AF944" s="215"/>
      <c r="AG944" s="215"/>
      <c r="AH944" s="215"/>
    </row>
    <row r="945" spans="15:34" ht="12">
      <c r="O945" s="215"/>
      <c r="P945" s="215"/>
      <c r="Q945" s="215"/>
      <c r="R945" s="215"/>
      <c r="S945" s="215"/>
      <c r="T945" s="215"/>
      <c r="U945" s="215"/>
      <c r="V945" s="215"/>
      <c r="W945" s="215"/>
      <c r="X945" s="215"/>
      <c r="Y945" s="215"/>
      <c r="Z945" s="215"/>
      <c r="AA945" s="215"/>
      <c r="AB945" s="215"/>
      <c r="AC945" s="215"/>
      <c r="AD945" s="215"/>
      <c r="AE945" s="215"/>
      <c r="AF945" s="215"/>
      <c r="AG945" s="215"/>
      <c r="AH945" s="215"/>
    </row>
    <row r="946" spans="15:34" ht="12">
      <c r="O946" s="215"/>
      <c r="P946" s="215"/>
      <c r="Q946" s="215"/>
      <c r="R946" s="215"/>
      <c r="S946" s="215"/>
      <c r="T946" s="215"/>
      <c r="U946" s="215"/>
      <c r="V946" s="215"/>
      <c r="W946" s="215"/>
      <c r="X946" s="215"/>
      <c r="Y946" s="215"/>
      <c r="Z946" s="215"/>
      <c r="AA946" s="215"/>
      <c r="AB946" s="215"/>
      <c r="AC946" s="215"/>
      <c r="AD946" s="215"/>
      <c r="AE946" s="215"/>
      <c r="AF946" s="215"/>
      <c r="AG946" s="215"/>
      <c r="AH946" s="215"/>
    </row>
    <row r="947" spans="15:34" ht="12">
      <c r="O947" s="215"/>
      <c r="P947" s="215"/>
      <c r="Q947" s="215"/>
      <c r="R947" s="215"/>
      <c r="S947" s="215"/>
      <c r="T947" s="215"/>
      <c r="U947" s="215"/>
      <c r="V947" s="215"/>
      <c r="W947" s="215"/>
      <c r="X947" s="215"/>
      <c r="Y947" s="215"/>
      <c r="Z947" s="215"/>
      <c r="AA947" s="215"/>
      <c r="AB947" s="215"/>
      <c r="AC947" s="215"/>
      <c r="AD947" s="215"/>
      <c r="AE947" s="215"/>
      <c r="AF947" s="215"/>
      <c r="AG947" s="215"/>
      <c r="AH947" s="215"/>
    </row>
    <row r="948" spans="15:34" ht="12">
      <c r="O948" s="215"/>
      <c r="P948" s="215"/>
      <c r="Q948" s="215"/>
      <c r="R948" s="215"/>
      <c r="S948" s="215"/>
      <c r="T948" s="215"/>
      <c r="U948" s="215"/>
      <c r="V948" s="215"/>
      <c r="W948" s="215"/>
      <c r="X948" s="215"/>
      <c r="Y948" s="215"/>
      <c r="Z948" s="215"/>
      <c r="AA948" s="215"/>
      <c r="AB948" s="215"/>
      <c r="AC948" s="215"/>
      <c r="AD948" s="215"/>
      <c r="AE948" s="215"/>
      <c r="AF948" s="215"/>
      <c r="AG948" s="215"/>
      <c r="AH948" s="215"/>
    </row>
    <row r="949" spans="15:34" ht="12">
      <c r="O949" s="215"/>
      <c r="P949" s="215"/>
      <c r="Q949" s="215"/>
      <c r="R949" s="215"/>
      <c r="S949" s="215"/>
      <c r="T949" s="215"/>
      <c r="U949" s="215"/>
      <c r="V949" s="215"/>
      <c r="W949" s="215"/>
      <c r="X949" s="215"/>
      <c r="Y949" s="215"/>
      <c r="Z949" s="215"/>
      <c r="AA949" s="215"/>
      <c r="AB949" s="215"/>
      <c r="AC949" s="215"/>
      <c r="AD949" s="215"/>
      <c r="AE949" s="215"/>
      <c r="AF949" s="215"/>
      <c r="AG949" s="215"/>
      <c r="AH949" s="215"/>
    </row>
    <row r="950" spans="15:34" ht="12">
      <c r="O950" s="215"/>
      <c r="P950" s="215"/>
      <c r="Q950" s="215"/>
      <c r="R950" s="215"/>
      <c r="S950" s="215"/>
      <c r="T950" s="215"/>
      <c r="U950" s="215"/>
      <c r="V950" s="215"/>
      <c r="W950" s="215"/>
      <c r="X950" s="215"/>
      <c r="Y950" s="215"/>
      <c r="Z950" s="215"/>
      <c r="AA950" s="215"/>
      <c r="AB950" s="215"/>
      <c r="AC950" s="215"/>
      <c r="AD950" s="215"/>
      <c r="AE950" s="215"/>
      <c r="AF950" s="215"/>
      <c r="AG950" s="215"/>
      <c r="AH950" s="215"/>
    </row>
    <row r="951" spans="15:34" ht="12">
      <c r="O951" s="215"/>
      <c r="P951" s="215"/>
      <c r="Q951" s="215"/>
      <c r="R951" s="215"/>
      <c r="S951" s="215"/>
      <c r="T951" s="215"/>
      <c r="U951" s="215"/>
      <c r="V951" s="215"/>
      <c r="W951" s="215"/>
      <c r="X951" s="215"/>
      <c r="Y951" s="215"/>
      <c r="Z951" s="215"/>
      <c r="AA951" s="215"/>
      <c r="AB951" s="215"/>
      <c r="AC951" s="215"/>
      <c r="AD951" s="215"/>
      <c r="AE951" s="215"/>
      <c r="AF951" s="215"/>
      <c r="AG951" s="215"/>
      <c r="AH951" s="215"/>
    </row>
    <row r="952" spans="15:34" ht="12">
      <c r="O952" s="215"/>
      <c r="P952" s="215"/>
      <c r="Q952" s="215"/>
      <c r="R952" s="215"/>
      <c r="S952" s="215"/>
      <c r="T952" s="215"/>
      <c r="U952" s="215"/>
      <c r="V952" s="215"/>
      <c r="W952" s="215"/>
      <c r="X952" s="215"/>
      <c r="Y952" s="215"/>
      <c r="Z952" s="215"/>
      <c r="AA952" s="215"/>
      <c r="AB952" s="215"/>
      <c r="AC952" s="215"/>
      <c r="AD952" s="215"/>
      <c r="AE952" s="215"/>
      <c r="AF952" s="215"/>
      <c r="AG952" s="215"/>
      <c r="AH952" s="215"/>
    </row>
    <row r="953" spans="15:34" ht="12">
      <c r="O953" s="215"/>
      <c r="P953" s="215"/>
      <c r="Q953" s="215"/>
      <c r="R953" s="215"/>
      <c r="S953" s="215"/>
      <c r="T953" s="215"/>
      <c r="U953" s="215"/>
      <c r="V953" s="215"/>
      <c r="W953" s="215"/>
      <c r="X953" s="215"/>
      <c r="Y953" s="215"/>
      <c r="Z953" s="215"/>
      <c r="AA953" s="215"/>
      <c r="AB953" s="215"/>
      <c r="AC953" s="215"/>
      <c r="AD953" s="215"/>
      <c r="AE953" s="215"/>
      <c r="AF953" s="215"/>
      <c r="AG953" s="215"/>
      <c r="AH953" s="215"/>
    </row>
    <row r="954" spans="15:34" ht="12">
      <c r="O954" s="215"/>
      <c r="P954" s="215"/>
      <c r="Q954" s="215"/>
      <c r="R954" s="215"/>
      <c r="S954" s="215"/>
      <c r="T954" s="215"/>
      <c r="U954" s="215"/>
      <c r="V954" s="215"/>
      <c r="W954" s="215"/>
      <c r="X954" s="215"/>
      <c r="Y954" s="215"/>
      <c r="Z954" s="215"/>
      <c r="AA954" s="215"/>
      <c r="AB954" s="215"/>
      <c r="AC954" s="215"/>
      <c r="AD954" s="215"/>
      <c r="AE954" s="215"/>
      <c r="AF954" s="215"/>
      <c r="AG954" s="215"/>
      <c r="AH954" s="215"/>
    </row>
    <row r="955" spans="15:34" ht="12">
      <c r="O955" s="215"/>
      <c r="P955" s="215"/>
      <c r="Q955" s="215"/>
      <c r="R955" s="215"/>
      <c r="S955" s="215"/>
      <c r="T955" s="215"/>
      <c r="U955" s="215"/>
      <c r="V955" s="215"/>
      <c r="W955" s="215"/>
      <c r="X955" s="215"/>
      <c r="Y955" s="215"/>
      <c r="Z955" s="215"/>
      <c r="AA955" s="215"/>
      <c r="AB955" s="215"/>
      <c r="AC955" s="215"/>
      <c r="AD955" s="215"/>
      <c r="AE955" s="215"/>
      <c r="AF955" s="215"/>
      <c r="AG955" s="215"/>
      <c r="AH955" s="215"/>
    </row>
    <row r="956" spans="15:34" ht="12">
      <c r="O956" s="215"/>
      <c r="P956" s="215"/>
      <c r="Q956" s="215"/>
      <c r="R956" s="215"/>
      <c r="S956" s="215"/>
      <c r="T956" s="215"/>
      <c r="U956" s="215"/>
      <c r="V956" s="215"/>
      <c r="W956" s="215"/>
      <c r="X956" s="215"/>
      <c r="Y956" s="215"/>
      <c r="Z956" s="215"/>
      <c r="AA956" s="215"/>
      <c r="AB956" s="215"/>
      <c r="AC956" s="215"/>
      <c r="AD956" s="215"/>
      <c r="AE956" s="215"/>
      <c r="AF956" s="215"/>
      <c r="AG956" s="215"/>
      <c r="AH956" s="215"/>
    </row>
    <row r="957" spans="15:34" ht="12">
      <c r="O957" s="215"/>
      <c r="P957" s="215"/>
      <c r="Q957" s="215"/>
      <c r="R957" s="215"/>
      <c r="S957" s="215"/>
      <c r="T957" s="215"/>
      <c r="U957" s="215"/>
      <c r="V957" s="215"/>
      <c r="W957" s="215"/>
      <c r="X957" s="215"/>
      <c r="Y957" s="215"/>
      <c r="Z957" s="215"/>
      <c r="AA957" s="215"/>
      <c r="AB957" s="215"/>
      <c r="AC957" s="215"/>
      <c r="AD957" s="215"/>
      <c r="AE957" s="215"/>
      <c r="AF957" s="215"/>
      <c r="AG957" s="215"/>
      <c r="AH957" s="215"/>
    </row>
    <row r="958" spans="15:34" ht="12">
      <c r="O958" s="215"/>
      <c r="P958" s="215"/>
      <c r="Q958" s="215"/>
      <c r="R958" s="215"/>
      <c r="S958" s="215"/>
      <c r="T958" s="215"/>
      <c r="U958" s="215"/>
      <c r="V958" s="215"/>
      <c r="W958" s="215"/>
      <c r="X958" s="215"/>
      <c r="Y958" s="215"/>
      <c r="Z958" s="215"/>
      <c r="AA958" s="215"/>
      <c r="AB958" s="215"/>
      <c r="AC958" s="215"/>
      <c r="AD958" s="215"/>
      <c r="AE958" s="215"/>
      <c r="AF958" s="215"/>
      <c r="AG958" s="215"/>
      <c r="AH958" s="215"/>
    </row>
    <row r="959" spans="15:34" ht="12">
      <c r="O959" s="215"/>
      <c r="P959" s="215"/>
      <c r="Q959" s="215"/>
      <c r="R959" s="215"/>
      <c r="S959" s="215"/>
      <c r="T959" s="215"/>
      <c r="U959" s="215"/>
      <c r="V959" s="215"/>
      <c r="W959" s="215"/>
      <c r="X959" s="215"/>
      <c r="Y959" s="215"/>
      <c r="Z959" s="215"/>
      <c r="AA959" s="215"/>
      <c r="AB959" s="215"/>
      <c r="AC959" s="215"/>
      <c r="AD959" s="215"/>
      <c r="AE959" s="215"/>
      <c r="AF959" s="215"/>
      <c r="AG959" s="215"/>
      <c r="AH959" s="215"/>
    </row>
    <row r="960" spans="15:34" ht="12">
      <c r="O960" s="215"/>
      <c r="P960" s="215"/>
      <c r="Q960" s="215"/>
      <c r="R960" s="215"/>
      <c r="S960" s="215"/>
      <c r="T960" s="215"/>
      <c r="U960" s="215"/>
      <c r="V960" s="215"/>
      <c r="W960" s="215"/>
      <c r="X960" s="215"/>
      <c r="Y960" s="215"/>
      <c r="Z960" s="215"/>
      <c r="AA960" s="215"/>
      <c r="AB960" s="215"/>
      <c r="AC960" s="215"/>
      <c r="AD960" s="215"/>
      <c r="AE960" s="215"/>
      <c r="AF960" s="215"/>
      <c r="AG960" s="215"/>
      <c r="AH960" s="215"/>
    </row>
    <row r="961" spans="15:34" ht="12">
      <c r="O961" s="215"/>
      <c r="P961" s="215"/>
      <c r="Q961" s="215"/>
      <c r="R961" s="215"/>
      <c r="S961" s="215"/>
      <c r="T961" s="215"/>
      <c r="U961" s="215"/>
      <c r="V961" s="215"/>
      <c r="W961" s="215"/>
      <c r="X961" s="215"/>
      <c r="Y961" s="215"/>
      <c r="Z961" s="215"/>
      <c r="AA961" s="215"/>
      <c r="AB961" s="215"/>
      <c r="AC961" s="215"/>
      <c r="AD961" s="215"/>
      <c r="AE961" s="215"/>
      <c r="AF961" s="215"/>
      <c r="AG961" s="215"/>
      <c r="AH961" s="215"/>
    </row>
    <row r="962" spans="15:34" ht="12">
      <c r="O962" s="215"/>
      <c r="P962" s="215"/>
      <c r="Q962" s="215"/>
      <c r="R962" s="215"/>
      <c r="S962" s="215"/>
      <c r="T962" s="215"/>
      <c r="U962" s="215"/>
      <c r="V962" s="215"/>
      <c r="W962" s="215"/>
      <c r="X962" s="215"/>
      <c r="Y962" s="215"/>
      <c r="Z962" s="215"/>
      <c r="AA962" s="215"/>
      <c r="AB962" s="215"/>
      <c r="AC962" s="215"/>
      <c r="AD962" s="215"/>
      <c r="AE962" s="215"/>
      <c r="AF962" s="215"/>
      <c r="AG962" s="215"/>
      <c r="AH962" s="215"/>
    </row>
    <row r="963" spans="15:34" ht="12">
      <c r="O963" s="215"/>
      <c r="P963" s="215"/>
      <c r="Q963" s="215"/>
      <c r="R963" s="215"/>
      <c r="S963" s="215"/>
      <c r="T963" s="215"/>
      <c r="U963" s="215"/>
      <c r="V963" s="215"/>
      <c r="W963" s="215"/>
      <c r="X963" s="215"/>
      <c r="Y963" s="215"/>
      <c r="Z963" s="215"/>
      <c r="AA963" s="215"/>
      <c r="AB963" s="215"/>
      <c r="AC963" s="215"/>
      <c r="AD963" s="215"/>
      <c r="AE963" s="215"/>
      <c r="AF963" s="215"/>
      <c r="AG963" s="215"/>
      <c r="AH963" s="215"/>
    </row>
    <row r="964" spans="15:34" ht="12">
      <c r="O964" s="215"/>
      <c r="P964" s="215"/>
      <c r="Q964" s="215"/>
      <c r="R964" s="215"/>
      <c r="S964" s="215"/>
      <c r="T964" s="215"/>
      <c r="U964" s="215"/>
      <c r="V964" s="215"/>
      <c r="W964" s="215"/>
      <c r="X964" s="215"/>
      <c r="Y964" s="215"/>
      <c r="Z964" s="215"/>
      <c r="AA964" s="215"/>
      <c r="AB964" s="215"/>
      <c r="AC964" s="215"/>
      <c r="AD964" s="215"/>
      <c r="AE964" s="215"/>
      <c r="AF964" s="215"/>
      <c r="AG964" s="215"/>
      <c r="AH964" s="215"/>
    </row>
    <row r="965" spans="15:34" ht="12">
      <c r="O965" s="215"/>
      <c r="P965" s="215"/>
      <c r="Q965" s="215"/>
      <c r="R965" s="215"/>
      <c r="S965" s="215"/>
      <c r="T965" s="215"/>
      <c r="U965" s="215"/>
      <c r="V965" s="215"/>
      <c r="W965" s="215"/>
      <c r="X965" s="215"/>
      <c r="Y965" s="215"/>
      <c r="Z965" s="215"/>
      <c r="AA965" s="215"/>
      <c r="AB965" s="215"/>
      <c r="AC965" s="215"/>
      <c r="AD965" s="215"/>
      <c r="AE965" s="215"/>
      <c r="AF965" s="215"/>
      <c r="AG965" s="215"/>
      <c r="AH965" s="215"/>
    </row>
    <row r="966" spans="15:34" ht="12">
      <c r="O966" s="215"/>
      <c r="P966" s="215"/>
      <c r="Q966" s="215"/>
      <c r="R966" s="215"/>
      <c r="S966" s="215"/>
      <c r="T966" s="215"/>
      <c r="U966" s="215"/>
      <c r="V966" s="215"/>
      <c r="W966" s="215"/>
      <c r="X966" s="215"/>
      <c r="Y966" s="215"/>
      <c r="Z966" s="215"/>
      <c r="AA966" s="215"/>
      <c r="AB966" s="215"/>
      <c r="AC966" s="215"/>
      <c r="AD966" s="215"/>
      <c r="AE966" s="215"/>
      <c r="AF966" s="215"/>
      <c r="AG966" s="215"/>
      <c r="AH966" s="215"/>
    </row>
    <row r="967" spans="15:34" ht="12">
      <c r="O967" s="215"/>
      <c r="P967" s="215"/>
      <c r="Q967" s="215"/>
      <c r="R967" s="215"/>
      <c r="S967" s="215"/>
      <c r="T967" s="215"/>
      <c r="U967" s="215"/>
      <c r="V967" s="215"/>
      <c r="W967" s="215"/>
      <c r="X967" s="215"/>
      <c r="Y967" s="215"/>
      <c r="Z967" s="215"/>
      <c r="AA967" s="215"/>
      <c r="AB967" s="215"/>
      <c r="AC967" s="215"/>
      <c r="AD967" s="215"/>
      <c r="AE967" s="215"/>
      <c r="AF967" s="215"/>
      <c r="AG967" s="215"/>
      <c r="AH967" s="215"/>
    </row>
    <row r="968" spans="15:34" ht="12">
      <c r="O968" s="215"/>
      <c r="P968" s="215"/>
      <c r="Q968" s="215"/>
      <c r="R968" s="215"/>
      <c r="S968" s="215"/>
      <c r="T968" s="215"/>
      <c r="U968" s="215"/>
      <c r="V968" s="215"/>
      <c r="W968" s="215"/>
      <c r="X968" s="215"/>
      <c r="Y968" s="215"/>
      <c r="Z968" s="215"/>
      <c r="AA968" s="215"/>
      <c r="AB968" s="215"/>
      <c r="AC968" s="215"/>
      <c r="AD968" s="215"/>
      <c r="AE968" s="215"/>
      <c r="AF968" s="215"/>
      <c r="AG968" s="215"/>
      <c r="AH968" s="215"/>
    </row>
    <row r="969" spans="15:34" ht="12">
      <c r="O969" s="215"/>
      <c r="P969" s="215"/>
      <c r="Q969" s="215"/>
      <c r="R969" s="215"/>
      <c r="S969" s="215"/>
      <c r="T969" s="215"/>
      <c r="U969" s="215"/>
      <c r="V969" s="215"/>
      <c r="W969" s="215"/>
      <c r="X969" s="215"/>
      <c r="Y969" s="215"/>
      <c r="Z969" s="215"/>
      <c r="AA969" s="215"/>
      <c r="AB969" s="215"/>
      <c r="AC969" s="215"/>
      <c r="AD969" s="215"/>
      <c r="AE969" s="215"/>
      <c r="AF969" s="215"/>
      <c r="AG969" s="215"/>
      <c r="AH969" s="215"/>
    </row>
    <row r="970" spans="15:34" ht="12">
      <c r="O970" s="215"/>
      <c r="P970" s="215"/>
      <c r="Q970" s="215"/>
      <c r="R970" s="215"/>
      <c r="S970" s="215"/>
      <c r="T970" s="215"/>
      <c r="U970" s="215"/>
      <c r="V970" s="215"/>
      <c r="W970" s="215"/>
      <c r="X970" s="215"/>
      <c r="Y970" s="215"/>
      <c r="Z970" s="215"/>
      <c r="AA970" s="215"/>
      <c r="AB970" s="215"/>
      <c r="AC970" s="215"/>
      <c r="AD970" s="215"/>
      <c r="AE970" s="215"/>
      <c r="AF970" s="215"/>
      <c r="AG970" s="215"/>
      <c r="AH970" s="215"/>
    </row>
    <row r="971" spans="15:34" ht="12">
      <c r="O971" s="215"/>
      <c r="P971" s="215"/>
      <c r="Q971" s="215"/>
      <c r="R971" s="215"/>
      <c r="S971" s="215"/>
      <c r="T971" s="215"/>
      <c r="U971" s="215"/>
      <c r="V971" s="215"/>
      <c r="W971" s="215"/>
      <c r="X971" s="215"/>
      <c r="Y971" s="215"/>
      <c r="Z971" s="215"/>
      <c r="AA971" s="215"/>
      <c r="AB971" s="215"/>
      <c r="AC971" s="215"/>
      <c r="AD971" s="215"/>
      <c r="AE971" s="215"/>
      <c r="AF971" s="215"/>
      <c r="AG971" s="215"/>
      <c r="AH971" s="215"/>
    </row>
    <row r="972" spans="15:34" ht="12">
      <c r="O972" s="215"/>
      <c r="P972" s="215"/>
      <c r="Q972" s="215"/>
      <c r="R972" s="215"/>
      <c r="S972" s="215"/>
      <c r="T972" s="215"/>
      <c r="U972" s="215"/>
      <c r="V972" s="215"/>
      <c r="W972" s="215"/>
      <c r="X972" s="215"/>
      <c r="Y972" s="215"/>
      <c r="Z972" s="215"/>
      <c r="AA972" s="215"/>
      <c r="AB972" s="215"/>
      <c r="AC972" s="215"/>
      <c r="AD972" s="215"/>
      <c r="AE972" s="215"/>
      <c r="AF972" s="215"/>
      <c r="AG972" s="215"/>
      <c r="AH972" s="215"/>
    </row>
    <row r="973" spans="15:34" ht="12">
      <c r="O973" s="215"/>
      <c r="P973" s="215"/>
      <c r="Q973" s="215"/>
      <c r="R973" s="215"/>
      <c r="S973" s="215"/>
      <c r="T973" s="215"/>
      <c r="U973" s="215"/>
      <c r="V973" s="215"/>
      <c r="W973" s="215"/>
      <c r="X973" s="215"/>
      <c r="Y973" s="215"/>
      <c r="Z973" s="215"/>
      <c r="AA973" s="215"/>
      <c r="AB973" s="215"/>
      <c r="AC973" s="215"/>
      <c r="AD973" s="215"/>
      <c r="AE973" s="215"/>
      <c r="AF973" s="215"/>
      <c r="AG973" s="215"/>
      <c r="AH973" s="215"/>
    </row>
    <row r="974" spans="15:34" ht="12">
      <c r="O974" s="215"/>
      <c r="P974" s="215"/>
      <c r="Q974" s="215"/>
      <c r="R974" s="215"/>
      <c r="S974" s="215"/>
      <c r="T974" s="215"/>
      <c r="U974" s="215"/>
      <c r="V974" s="215"/>
      <c r="W974" s="215"/>
      <c r="X974" s="215"/>
      <c r="Y974" s="215"/>
      <c r="Z974" s="215"/>
      <c r="AA974" s="215"/>
      <c r="AB974" s="215"/>
      <c r="AC974" s="215"/>
      <c r="AD974" s="215"/>
      <c r="AE974" s="215"/>
      <c r="AF974" s="215"/>
      <c r="AG974" s="215"/>
      <c r="AH974" s="215"/>
    </row>
    <row r="975" spans="15:34" ht="12">
      <c r="O975" s="215"/>
      <c r="P975" s="215"/>
      <c r="Q975" s="215"/>
      <c r="R975" s="215"/>
      <c r="S975" s="215"/>
      <c r="T975" s="215"/>
      <c r="U975" s="215"/>
      <c r="V975" s="215"/>
      <c r="W975" s="215"/>
      <c r="X975" s="215"/>
      <c r="Y975" s="215"/>
      <c r="Z975" s="215"/>
      <c r="AA975" s="215"/>
      <c r="AB975" s="215"/>
      <c r="AC975" s="215"/>
      <c r="AD975" s="215"/>
      <c r="AE975" s="215"/>
      <c r="AF975" s="215"/>
      <c r="AG975" s="215"/>
      <c r="AH975" s="215"/>
    </row>
    <row r="976" spans="15:34" ht="12">
      <c r="O976" s="215"/>
      <c r="P976" s="215"/>
      <c r="Q976" s="215"/>
      <c r="R976" s="215"/>
      <c r="S976" s="215"/>
      <c r="T976" s="215"/>
      <c r="U976" s="215"/>
      <c r="V976" s="215"/>
      <c r="W976" s="215"/>
      <c r="X976" s="215"/>
      <c r="Y976" s="215"/>
      <c r="Z976" s="215"/>
      <c r="AA976" s="215"/>
      <c r="AB976" s="215"/>
      <c r="AC976" s="215"/>
      <c r="AD976" s="215"/>
      <c r="AE976" s="215"/>
      <c r="AF976" s="215"/>
      <c r="AG976" s="215"/>
      <c r="AH976" s="215"/>
    </row>
    <row r="977" spans="15:34" ht="12">
      <c r="O977" s="215"/>
      <c r="P977" s="215"/>
      <c r="Q977" s="215"/>
      <c r="R977" s="215"/>
      <c r="S977" s="215"/>
      <c r="T977" s="215"/>
      <c r="U977" s="215"/>
      <c r="V977" s="215"/>
      <c r="W977" s="215"/>
      <c r="X977" s="215"/>
      <c r="Y977" s="215"/>
      <c r="Z977" s="215"/>
      <c r="AA977" s="215"/>
      <c r="AB977" s="215"/>
      <c r="AC977" s="215"/>
      <c r="AD977" s="215"/>
      <c r="AE977" s="215"/>
      <c r="AF977" s="215"/>
      <c r="AG977" s="215"/>
      <c r="AH977" s="215"/>
    </row>
    <row r="978" spans="15:34" ht="12">
      <c r="O978" s="215"/>
      <c r="P978" s="215"/>
      <c r="Q978" s="215"/>
      <c r="R978" s="215"/>
      <c r="S978" s="215"/>
      <c r="T978" s="215"/>
      <c r="U978" s="215"/>
      <c r="V978" s="215"/>
      <c r="W978" s="215"/>
      <c r="X978" s="215"/>
      <c r="Y978" s="215"/>
      <c r="Z978" s="215"/>
      <c r="AA978" s="215"/>
      <c r="AB978" s="215"/>
      <c r="AC978" s="215"/>
      <c r="AD978" s="215"/>
      <c r="AE978" s="215"/>
      <c r="AF978" s="215"/>
      <c r="AG978" s="215"/>
      <c r="AH978" s="215"/>
    </row>
    <row r="979" spans="15:34" ht="12">
      <c r="O979" s="215"/>
      <c r="P979" s="215"/>
      <c r="Q979" s="215"/>
      <c r="R979" s="215"/>
      <c r="S979" s="215"/>
      <c r="T979" s="215"/>
      <c r="U979" s="215"/>
      <c r="V979" s="215"/>
      <c r="W979" s="215"/>
      <c r="X979" s="215"/>
      <c r="Y979" s="215"/>
      <c r="Z979" s="215"/>
      <c r="AA979" s="215"/>
      <c r="AB979" s="215"/>
      <c r="AC979" s="215"/>
      <c r="AD979" s="215"/>
      <c r="AE979" s="215"/>
      <c r="AF979" s="215"/>
      <c r="AG979" s="215"/>
      <c r="AH979" s="215"/>
    </row>
    <row r="980" spans="15:34" ht="12">
      <c r="O980" s="215"/>
      <c r="P980" s="215"/>
      <c r="Q980" s="215"/>
      <c r="R980" s="215"/>
      <c r="S980" s="215"/>
      <c r="T980" s="215"/>
      <c r="U980" s="215"/>
      <c r="V980" s="215"/>
      <c r="W980" s="215"/>
      <c r="X980" s="215"/>
      <c r="Y980" s="215"/>
      <c r="Z980" s="215"/>
      <c r="AA980" s="215"/>
      <c r="AB980" s="215"/>
      <c r="AC980" s="215"/>
      <c r="AD980" s="215"/>
      <c r="AE980" s="215"/>
      <c r="AF980" s="215"/>
      <c r="AG980" s="215"/>
      <c r="AH980" s="215"/>
    </row>
    <row r="981" spans="15:34" ht="12">
      <c r="O981" s="215"/>
      <c r="P981" s="215"/>
      <c r="Q981" s="215"/>
      <c r="R981" s="215"/>
      <c r="S981" s="215"/>
      <c r="T981" s="215"/>
      <c r="U981" s="215"/>
      <c r="V981" s="215"/>
      <c r="W981" s="215"/>
      <c r="X981" s="215"/>
      <c r="Y981" s="215"/>
      <c r="Z981" s="215"/>
      <c r="AA981" s="215"/>
      <c r="AB981" s="215"/>
      <c r="AC981" s="215"/>
      <c r="AD981" s="215"/>
      <c r="AE981" s="215"/>
      <c r="AF981" s="215"/>
      <c r="AG981" s="215"/>
      <c r="AH981" s="215"/>
    </row>
    <row r="982" spans="15:34" ht="12">
      <c r="O982" s="215"/>
      <c r="P982" s="215"/>
      <c r="Q982" s="215"/>
      <c r="R982" s="215"/>
      <c r="S982" s="215"/>
      <c r="T982" s="215"/>
      <c r="U982" s="215"/>
      <c r="V982" s="215"/>
      <c r="W982" s="215"/>
      <c r="X982" s="215"/>
      <c r="Y982" s="215"/>
      <c r="Z982" s="215"/>
      <c r="AA982" s="215"/>
      <c r="AB982" s="215"/>
      <c r="AC982" s="215"/>
      <c r="AD982" s="215"/>
      <c r="AE982" s="215"/>
      <c r="AF982" s="215"/>
      <c r="AG982" s="215"/>
      <c r="AH982" s="215"/>
    </row>
    <row r="983" spans="15:34" ht="12">
      <c r="O983" s="215"/>
      <c r="P983" s="215"/>
      <c r="Q983" s="215"/>
      <c r="R983" s="215"/>
      <c r="S983" s="215"/>
      <c r="T983" s="215"/>
      <c r="U983" s="215"/>
      <c r="V983" s="215"/>
      <c r="W983" s="215"/>
      <c r="X983" s="215"/>
      <c r="Y983" s="215"/>
      <c r="Z983" s="215"/>
      <c r="AA983" s="215"/>
      <c r="AB983" s="215"/>
      <c r="AC983" s="215"/>
      <c r="AD983" s="215"/>
      <c r="AE983" s="215"/>
      <c r="AF983" s="215"/>
      <c r="AG983" s="215"/>
      <c r="AH983" s="215"/>
    </row>
    <row r="984" spans="15:34" ht="12">
      <c r="O984" s="215"/>
      <c r="P984" s="215"/>
      <c r="Q984" s="215"/>
      <c r="R984" s="215"/>
      <c r="S984" s="215"/>
      <c r="T984" s="215"/>
      <c r="U984" s="215"/>
      <c r="V984" s="215"/>
      <c r="W984" s="215"/>
      <c r="X984" s="215"/>
      <c r="Y984" s="215"/>
      <c r="Z984" s="215"/>
      <c r="AA984" s="215"/>
      <c r="AB984" s="215"/>
      <c r="AC984" s="215"/>
      <c r="AD984" s="215"/>
      <c r="AE984" s="215"/>
      <c r="AF984" s="215"/>
      <c r="AG984" s="215"/>
      <c r="AH984" s="215"/>
    </row>
    <row r="985" spans="15:34" ht="12">
      <c r="O985" s="215"/>
      <c r="P985" s="215"/>
      <c r="Q985" s="215"/>
      <c r="R985" s="215"/>
      <c r="S985" s="215"/>
      <c r="T985" s="215"/>
      <c r="U985" s="215"/>
      <c r="V985" s="215"/>
      <c r="W985" s="215"/>
      <c r="X985" s="215"/>
      <c r="Y985" s="215"/>
      <c r="Z985" s="215"/>
      <c r="AA985" s="215"/>
      <c r="AB985" s="215"/>
      <c r="AC985" s="215"/>
      <c r="AD985" s="215"/>
      <c r="AE985" s="215"/>
      <c r="AF985" s="215"/>
      <c r="AG985" s="215"/>
      <c r="AH985" s="215"/>
    </row>
    <row r="986" spans="15:34" ht="12">
      <c r="O986" s="215"/>
      <c r="P986" s="215"/>
      <c r="Q986" s="215"/>
      <c r="R986" s="215"/>
      <c r="S986" s="215"/>
      <c r="T986" s="215"/>
      <c r="U986" s="215"/>
      <c r="V986" s="215"/>
      <c r="W986" s="215"/>
      <c r="X986" s="215"/>
      <c r="Y986" s="215"/>
      <c r="Z986" s="215"/>
      <c r="AA986" s="215"/>
      <c r="AB986" s="215"/>
      <c r="AC986" s="215"/>
      <c r="AD986" s="215"/>
      <c r="AE986" s="215"/>
      <c r="AF986" s="215"/>
      <c r="AG986" s="215"/>
      <c r="AH986" s="215"/>
    </row>
    <row r="987" spans="15:34" ht="12">
      <c r="O987" s="215"/>
      <c r="P987" s="215"/>
      <c r="Q987" s="215"/>
      <c r="R987" s="215"/>
      <c r="S987" s="215"/>
      <c r="T987" s="215"/>
      <c r="U987" s="215"/>
      <c r="V987" s="215"/>
      <c r="W987" s="215"/>
      <c r="X987" s="215"/>
      <c r="Y987" s="215"/>
      <c r="Z987" s="215"/>
      <c r="AA987" s="215"/>
      <c r="AB987" s="215"/>
      <c r="AC987" s="215"/>
      <c r="AD987" s="215"/>
      <c r="AE987" s="215"/>
      <c r="AF987" s="215"/>
      <c r="AG987" s="215"/>
      <c r="AH987" s="215"/>
    </row>
    <row r="988" spans="15:34" ht="12">
      <c r="O988" s="215"/>
      <c r="P988" s="215"/>
      <c r="Q988" s="215"/>
      <c r="R988" s="215"/>
      <c r="S988" s="215"/>
      <c r="T988" s="215"/>
      <c r="U988" s="215"/>
      <c r="V988" s="215"/>
      <c r="W988" s="215"/>
      <c r="X988" s="215"/>
      <c r="Y988" s="215"/>
      <c r="Z988" s="215"/>
      <c r="AA988" s="215"/>
      <c r="AB988" s="215"/>
      <c r="AC988" s="215"/>
      <c r="AD988" s="215"/>
      <c r="AE988" s="215"/>
      <c r="AF988" s="215"/>
      <c r="AG988" s="215"/>
      <c r="AH988" s="215"/>
    </row>
    <row r="989" spans="15:34" ht="12">
      <c r="O989" s="215"/>
      <c r="P989" s="215"/>
      <c r="Q989" s="215"/>
      <c r="R989" s="215"/>
      <c r="S989" s="215"/>
      <c r="T989" s="215"/>
      <c r="U989" s="215"/>
      <c r="V989" s="215"/>
      <c r="W989" s="215"/>
      <c r="X989" s="215"/>
      <c r="Y989" s="215"/>
      <c r="Z989" s="215"/>
      <c r="AA989" s="215"/>
      <c r="AB989" s="215"/>
      <c r="AC989" s="215"/>
      <c r="AD989" s="215"/>
      <c r="AE989" s="215"/>
      <c r="AF989" s="215"/>
      <c r="AG989" s="215"/>
      <c r="AH989" s="215"/>
    </row>
    <row r="990" spans="15:34" ht="12">
      <c r="O990" s="215"/>
      <c r="P990" s="215"/>
      <c r="Q990" s="215"/>
      <c r="R990" s="215"/>
      <c r="S990" s="215"/>
      <c r="T990" s="215"/>
      <c r="U990" s="215"/>
      <c r="V990" s="215"/>
      <c r="W990" s="215"/>
      <c r="X990" s="215"/>
      <c r="Y990" s="215"/>
      <c r="Z990" s="215"/>
      <c r="AA990" s="215"/>
      <c r="AB990" s="215"/>
      <c r="AC990" s="215"/>
      <c r="AD990" s="215"/>
      <c r="AE990" s="215"/>
      <c r="AF990" s="215"/>
      <c r="AG990" s="215"/>
      <c r="AH990" s="215"/>
    </row>
    <row r="991" spans="15:34" ht="12">
      <c r="O991" s="215"/>
      <c r="P991" s="215"/>
      <c r="Q991" s="215"/>
      <c r="R991" s="215"/>
      <c r="S991" s="215"/>
      <c r="T991" s="215"/>
      <c r="U991" s="215"/>
      <c r="V991" s="215"/>
      <c r="W991" s="215"/>
      <c r="X991" s="215"/>
      <c r="Y991" s="215"/>
      <c r="Z991" s="215"/>
      <c r="AA991" s="215"/>
      <c r="AB991" s="215"/>
      <c r="AC991" s="215"/>
      <c r="AD991" s="215"/>
      <c r="AE991" s="215"/>
      <c r="AF991" s="215"/>
      <c r="AG991" s="215"/>
      <c r="AH991" s="215"/>
    </row>
    <row r="992" spans="15:34" ht="12">
      <c r="O992" s="215"/>
      <c r="P992" s="215"/>
      <c r="Q992" s="215"/>
      <c r="R992" s="215"/>
      <c r="S992" s="215"/>
      <c r="T992" s="215"/>
      <c r="U992" s="215"/>
      <c r="V992" s="215"/>
      <c r="W992" s="215"/>
      <c r="X992" s="215"/>
      <c r="Y992" s="215"/>
      <c r="Z992" s="215"/>
      <c r="AA992" s="215"/>
      <c r="AB992" s="215"/>
      <c r="AC992" s="215"/>
      <c r="AD992" s="215"/>
      <c r="AE992" s="215"/>
      <c r="AF992" s="215"/>
      <c r="AG992" s="215"/>
      <c r="AH992" s="215"/>
    </row>
    <row r="993" spans="15:34" ht="12">
      <c r="O993" s="215"/>
      <c r="P993" s="215"/>
      <c r="Q993" s="215"/>
      <c r="R993" s="215"/>
      <c r="S993" s="215"/>
      <c r="T993" s="215"/>
      <c r="U993" s="215"/>
      <c r="V993" s="215"/>
      <c r="W993" s="215"/>
      <c r="X993" s="215"/>
      <c r="Y993" s="215"/>
      <c r="Z993" s="215"/>
      <c r="AA993" s="215"/>
      <c r="AB993" s="215"/>
      <c r="AC993" s="215"/>
      <c r="AD993" s="215"/>
      <c r="AE993" s="215"/>
      <c r="AF993" s="215"/>
      <c r="AG993" s="215"/>
      <c r="AH993" s="215"/>
    </row>
    <row r="994" spans="15:34" ht="12">
      <c r="O994" s="215"/>
      <c r="P994" s="215"/>
      <c r="Q994" s="215"/>
      <c r="R994" s="215"/>
      <c r="S994" s="215"/>
      <c r="T994" s="215"/>
      <c r="U994" s="215"/>
      <c r="V994" s="215"/>
      <c r="W994" s="215"/>
      <c r="X994" s="215"/>
      <c r="Y994" s="215"/>
      <c r="Z994" s="215"/>
      <c r="AA994" s="215"/>
      <c r="AB994" s="215"/>
      <c r="AC994" s="215"/>
      <c r="AD994" s="215"/>
      <c r="AE994" s="215"/>
      <c r="AF994" s="215"/>
      <c r="AG994" s="215"/>
      <c r="AH994" s="215"/>
    </row>
    <row r="995" spans="15:34" ht="12">
      <c r="O995" s="215"/>
      <c r="P995" s="215"/>
      <c r="Q995" s="215"/>
      <c r="R995" s="215"/>
      <c r="S995" s="215"/>
      <c r="T995" s="215"/>
      <c r="U995" s="215"/>
      <c r="V995" s="215"/>
      <c r="W995" s="215"/>
      <c r="X995" s="215"/>
      <c r="Y995" s="215"/>
      <c r="Z995" s="215"/>
      <c r="AA995" s="215"/>
      <c r="AB995" s="215"/>
      <c r="AC995" s="215"/>
      <c r="AD995" s="215"/>
      <c r="AE995" s="215"/>
      <c r="AF995" s="215"/>
      <c r="AG995" s="215"/>
      <c r="AH995" s="215"/>
    </row>
    <row r="996" spans="15:34" ht="12">
      <c r="O996" s="215"/>
      <c r="P996" s="215"/>
      <c r="Q996" s="215"/>
      <c r="R996" s="215"/>
      <c r="S996" s="215"/>
      <c r="T996" s="215"/>
      <c r="U996" s="215"/>
      <c r="V996" s="215"/>
      <c r="W996" s="215"/>
      <c r="X996" s="215"/>
      <c r="Y996" s="215"/>
      <c r="Z996" s="215"/>
      <c r="AA996" s="215"/>
      <c r="AB996" s="215"/>
      <c r="AC996" s="215"/>
      <c r="AD996" s="215"/>
      <c r="AE996" s="215"/>
      <c r="AF996" s="215"/>
      <c r="AG996" s="215"/>
      <c r="AH996" s="215"/>
    </row>
    <row r="997" spans="15:34" ht="12">
      <c r="O997" s="215"/>
      <c r="P997" s="215"/>
      <c r="Q997" s="215"/>
      <c r="R997" s="215"/>
      <c r="S997" s="215"/>
      <c r="T997" s="215"/>
      <c r="U997" s="215"/>
      <c r="V997" s="215"/>
      <c r="W997" s="215"/>
      <c r="X997" s="215"/>
      <c r="Y997" s="215"/>
      <c r="Z997" s="215"/>
      <c r="AA997" s="215"/>
      <c r="AB997" s="215"/>
      <c r="AC997" s="215"/>
      <c r="AD997" s="215"/>
      <c r="AE997" s="215"/>
      <c r="AF997" s="215"/>
      <c r="AG997" s="215"/>
      <c r="AH997" s="215"/>
    </row>
    <row r="998" spans="15:34" ht="12">
      <c r="O998" s="215"/>
      <c r="P998" s="215"/>
      <c r="Q998" s="215"/>
      <c r="R998" s="215"/>
      <c r="S998" s="215"/>
      <c r="T998" s="215"/>
      <c r="U998" s="215"/>
      <c r="V998" s="215"/>
      <c r="W998" s="215"/>
      <c r="X998" s="215"/>
      <c r="Y998" s="215"/>
      <c r="Z998" s="215"/>
      <c r="AA998" s="215"/>
      <c r="AB998" s="215"/>
      <c r="AC998" s="215"/>
      <c r="AD998" s="215"/>
      <c r="AE998" s="215"/>
      <c r="AF998" s="215"/>
      <c r="AG998" s="215"/>
      <c r="AH998" s="215"/>
    </row>
    <row r="999" spans="15:34" ht="12">
      <c r="O999" s="215"/>
      <c r="P999" s="215"/>
      <c r="Q999" s="215"/>
      <c r="R999" s="215"/>
      <c r="S999" s="215"/>
      <c r="T999" s="215"/>
      <c r="U999" s="215"/>
      <c r="V999" s="215"/>
      <c r="W999" s="215"/>
      <c r="X999" s="215"/>
      <c r="Y999" s="215"/>
      <c r="Z999" s="215"/>
      <c r="AA999" s="215"/>
      <c r="AB999" s="215"/>
      <c r="AC999" s="215"/>
      <c r="AD999" s="215"/>
      <c r="AE999" s="215"/>
      <c r="AF999" s="215"/>
      <c r="AG999" s="215"/>
      <c r="AH999" s="215"/>
    </row>
    <row r="1000" spans="15:34" ht="12">
      <c r="O1000" s="215"/>
      <c r="P1000" s="215"/>
      <c r="Q1000" s="215"/>
      <c r="R1000" s="215"/>
      <c r="S1000" s="215"/>
      <c r="T1000" s="215"/>
      <c r="U1000" s="215"/>
      <c r="V1000" s="215"/>
      <c r="W1000" s="215"/>
      <c r="X1000" s="215"/>
      <c r="Y1000" s="215"/>
      <c r="Z1000" s="215"/>
      <c r="AA1000" s="215"/>
      <c r="AB1000" s="215"/>
      <c r="AC1000" s="215"/>
      <c r="AD1000" s="215"/>
      <c r="AE1000" s="215"/>
      <c r="AF1000" s="215"/>
      <c r="AG1000" s="215"/>
      <c r="AH1000" s="215"/>
    </row>
    <row r="1001" spans="15:34" ht="12">
      <c r="O1001" s="215"/>
      <c r="P1001" s="215"/>
      <c r="Q1001" s="215"/>
      <c r="R1001" s="215"/>
      <c r="S1001" s="215"/>
      <c r="T1001" s="215"/>
      <c r="U1001" s="215"/>
      <c r="V1001" s="215"/>
      <c r="W1001" s="215"/>
      <c r="X1001" s="215"/>
      <c r="Y1001" s="215"/>
      <c r="Z1001" s="215"/>
      <c r="AA1001" s="215"/>
      <c r="AB1001" s="215"/>
      <c r="AC1001" s="215"/>
      <c r="AD1001" s="215"/>
      <c r="AE1001" s="215"/>
      <c r="AF1001" s="215"/>
      <c r="AG1001" s="215"/>
      <c r="AH1001" s="215"/>
    </row>
    <row r="1002" spans="15:34" ht="12">
      <c r="O1002" s="215"/>
      <c r="P1002" s="215"/>
      <c r="Q1002" s="215"/>
      <c r="R1002" s="215"/>
      <c r="S1002" s="215"/>
      <c r="T1002" s="215"/>
      <c r="U1002" s="215"/>
      <c r="V1002" s="215"/>
      <c r="W1002" s="215"/>
      <c r="X1002" s="215"/>
      <c r="Y1002" s="215"/>
      <c r="Z1002" s="215"/>
      <c r="AA1002" s="215"/>
      <c r="AB1002" s="215"/>
      <c r="AC1002" s="215"/>
      <c r="AD1002" s="215"/>
      <c r="AE1002" s="215"/>
      <c r="AF1002" s="215"/>
      <c r="AG1002" s="215"/>
      <c r="AH1002" s="215"/>
    </row>
    <row r="1003" spans="15:34" ht="12">
      <c r="O1003" s="215"/>
      <c r="P1003" s="215"/>
      <c r="Q1003" s="215"/>
      <c r="R1003" s="215"/>
      <c r="S1003" s="215"/>
      <c r="T1003" s="215"/>
      <c r="U1003" s="215"/>
      <c r="V1003" s="215"/>
      <c r="W1003" s="215"/>
      <c r="X1003" s="215"/>
      <c r="Y1003" s="215"/>
      <c r="Z1003" s="215"/>
      <c r="AA1003" s="215"/>
      <c r="AB1003" s="215"/>
      <c r="AC1003" s="215"/>
      <c r="AD1003" s="215"/>
      <c r="AE1003" s="215"/>
      <c r="AF1003" s="215"/>
      <c r="AG1003" s="215"/>
      <c r="AH1003" s="215"/>
    </row>
    <row r="1004" spans="15:34" ht="12">
      <c r="O1004" s="215"/>
      <c r="P1004" s="215"/>
      <c r="Q1004" s="215"/>
      <c r="R1004" s="215"/>
      <c r="S1004" s="215"/>
      <c r="T1004" s="215"/>
      <c r="U1004" s="215"/>
      <c r="V1004" s="215"/>
      <c r="W1004" s="215"/>
      <c r="X1004" s="215"/>
      <c r="Y1004" s="215"/>
      <c r="Z1004" s="215"/>
      <c r="AA1004" s="215"/>
      <c r="AB1004" s="215"/>
      <c r="AC1004" s="215"/>
      <c r="AD1004" s="215"/>
      <c r="AE1004" s="215"/>
      <c r="AF1004" s="215"/>
      <c r="AG1004" s="215"/>
      <c r="AH1004" s="215"/>
    </row>
    <row r="1005" spans="15:34" ht="12">
      <c r="O1005" s="215"/>
      <c r="P1005" s="215"/>
      <c r="Q1005" s="215"/>
      <c r="R1005" s="215"/>
      <c r="S1005" s="215"/>
      <c r="T1005" s="215"/>
      <c r="U1005" s="215"/>
      <c r="V1005" s="215"/>
      <c r="W1005" s="215"/>
      <c r="X1005" s="215"/>
      <c r="Y1005" s="215"/>
      <c r="Z1005" s="215"/>
      <c r="AA1005" s="215"/>
      <c r="AB1005" s="215"/>
      <c r="AC1005" s="215"/>
      <c r="AD1005" s="215"/>
      <c r="AE1005" s="215"/>
      <c r="AF1005" s="215"/>
      <c r="AG1005" s="215"/>
      <c r="AH1005" s="215"/>
    </row>
    <row r="1006" spans="15:34" ht="12">
      <c r="O1006" s="215"/>
      <c r="P1006" s="215"/>
      <c r="Q1006" s="215"/>
      <c r="R1006" s="215"/>
      <c r="S1006" s="215"/>
      <c r="T1006" s="215"/>
      <c r="U1006" s="215"/>
      <c r="V1006" s="215"/>
      <c r="W1006" s="215"/>
      <c r="X1006" s="215"/>
      <c r="Y1006" s="215"/>
      <c r="Z1006" s="215"/>
      <c r="AA1006" s="215"/>
      <c r="AB1006" s="215"/>
      <c r="AC1006" s="215"/>
      <c r="AD1006" s="215"/>
      <c r="AE1006" s="215"/>
      <c r="AF1006" s="215"/>
      <c r="AG1006" s="215"/>
      <c r="AH1006" s="215"/>
    </row>
    <row r="1007" spans="15:34" ht="12">
      <c r="O1007" s="215"/>
      <c r="P1007" s="215"/>
      <c r="Q1007" s="215"/>
      <c r="R1007" s="215"/>
      <c r="S1007" s="215"/>
      <c r="T1007" s="215"/>
      <c r="U1007" s="215"/>
      <c r="V1007" s="215"/>
      <c r="W1007" s="215"/>
      <c r="X1007" s="215"/>
      <c r="Y1007" s="215"/>
      <c r="Z1007" s="215"/>
      <c r="AA1007" s="215"/>
      <c r="AB1007" s="215"/>
      <c r="AC1007" s="215"/>
      <c r="AD1007" s="215"/>
      <c r="AE1007" s="215"/>
      <c r="AF1007" s="215"/>
      <c r="AG1007" s="215"/>
      <c r="AH1007" s="215"/>
    </row>
    <row r="1008" spans="15:34" ht="12">
      <c r="O1008" s="215"/>
      <c r="P1008" s="215"/>
      <c r="Q1008" s="215"/>
      <c r="R1008" s="215"/>
      <c r="S1008" s="215"/>
      <c r="T1008" s="215"/>
      <c r="U1008" s="215"/>
      <c r="V1008" s="215"/>
      <c r="W1008" s="215"/>
      <c r="X1008" s="215"/>
      <c r="Y1008" s="215"/>
      <c r="Z1008" s="215"/>
      <c r="AA1008" s="215"/>
      <c r="AB1008" s="215"/>
      <c r="AC1008" s="215"/>
      <c r="AD1008" s="215"/>
      <c r="AE1008" s="215"/>
      <c r="AF1008" s="215"/>
      <c r="AG1008" s="215"/>
      <c r="AH1008" s="215"/>
    </row>
    <row r="1009" spans="15:34" ht="12">
      <c r="O1009" s="215"/>
      <c r="P1009" s="215"/>
      <c r="Q1009" s="215"/>
      <c r="R1009" s="215"/>
      <c r="S1009" s="215"/>
      <c r="T1009" s="215"/>
      <c r="U1009" s="215"/>
      <c r="V1009" s="215"/>
      <c r="W1009" s="215"/>
      <c r="X1009" s="215"/>
      <c r="Y1009" s="215"/>
      <c r="Z1009" s="215"/>
      <c r="AA1009" s="215"/>
      <c r="AB1009" s="215"/>
      <c r="AC1009" s="215"/>
      <c r="AD1009" s="215"/>
      <c r="AE1009" s="215"/>
      <c r="AF1009" s="215"/>
      <c r="AG1009" s="215"/>
      <c r="AH1009" s="215"/>
    </row>
    <row r="1010" spans="15:34" ht="12">
      <c r="O1010" s="215"/>
      <c r="P1010" s="215"/>
      <c r="Q1010" s="215"/>
      <c r="R1010" s="215"/>
      <c r="S1010" s="215"/>
      <c r="T1010" s="215"/>
      <c r="U1010" s="215"/>
      <c r="V1010" s="215"/>
      <c r="W1010" s="215"/>
      <c r="X1010" s="215"/>
      <c r="Y1010" s="215"/>
      <c r="Z1010" s="215"/>
      <c r="AA1010" s="215"/>
      <c r="AB1010" s="215"/>
      <c r="AC1010" s="215"/>
      <c r="AD1010" s="215"/>
      <c r="AE1010" s="215"/>
      <c r="AF1010" s="215"/>
      <c r="AG1010" s="215"/>
      <c r="AH1010" s="215"/>
    </row>
    <row r="1011" spans="15:34" ht="12">
      <c r="O1011" s="215"/>
      <c r="P1011" s="215"/>
      <c r="Q1011" s="215"/>
      <c r="R1011" s="215"/>
      <c r="S1011" s="215"/>
      <c r="T1011" s="215"/>
      <c r="U1011" s="215"/>
      <c r="V1011" s="215"/>
      <c r="W1011" s="215"/>
      <c r="X1011" s="215"/>
      <c r="Y1011" s="215"/>
      <c r="Z1011" s="215"/>
      <c r="AA1011" s="215"/>
      <c r="AB1011" s="215"/>
      <c r="AC1011" s="215"/>
      <c r="AD1011" s="215"/>
      <c r="AE1011" s="215"/>
      <c r="AF1011" s="215"/>
      <c r="AG1011" s="215"/>
      <c r="AH1011" s="215"/>
    </row>
    <row r="1012" spans="15:34" ht="12">
      <c r="O1012" s="215"/>
      <c r="P1012" s="215"/>
      <c r="Q1012" s="215"/>
      <c r="R1012" s="215"/>
      <c r="S1012" s="215"/>
      <c r="T1012" s="215"/>
      <c r="U1012" s="215"/>
      <c r="V1012" s="215"/>
      <c r="W1012" s="215"/>
      <c r="X1012" s="215"/>
      <c r="Y1012" s="215"/>
      <c r="Z1012" s="215"/>
      <c r="AA1012" s="215"/>
      <c r="AB1012" s="215"/>
      <c r="AC1012" s="215"/>
      <c r="AD1012" s="215"/>
      <c r="AE1012" s="215"/>
      <c r="AF1012" s="215"/>
      <c r="AG1012" s="215"/>
      <c r="AH1012" s="215"/>
    </row>
    <row r="1013" spans="15:34" ht="12">
      <c r="O1013" s="215"/>
      <c r="P1013" s="215"/>
      <c r="Q1013" s="215"/>
      <c r="R1013" s="215"/>
      <c r="S1013" s="215"/>
      <c r="T1013" s="215"/>
      <c r="U1013" s="215"/>
      <c r="V1013" s="215"/>
      <c r="W1013" s="215"/>
      <c r="X1013" s="215"/>
      <c r="Y1013" s="215"/>
      <c r="Z1013" s="215"/>
      <c r="AA1013" s="215"/>
      <c r="AB1013" s="215"/>
      <c r="AC1013" s="215"/>
      <c r="AD1013" s="215"/>
      <c r="AE1013" s="215"/>
      <c r="AF1013" s="215"/>
      <c r="AG1013" s="215"/>
      <c r="AH1013" s="215"/>
    </row>
    <row r="1014" spans="15:34" ht="12">
      <c r="O1014" s="215"/>
      <c r="P1014" s="215"/>
      <c r="Q1014" s="215"/>
      <c r="R1014" s="215"/>
      <c r="S1014" s="215"/>
      <c r="T1014" s="215"/>
      <c r="U1014" s="215"/>
      <c r="V1014" s="215"/>
      <c r="W1014" s="215"/>
      <c r="X1014" s="215"/>
      <c r="Y1014" s="215"/>
      <c r="Z1014" s="215"/>
      <c r="AA1014" s="215"/>
      <c r="AB1014" s="215"/>
      <c r="AC1014" s="215"/>
      <c r="AD1014" s="215"/>
      <c r="AE1014" s="215"/>
      <c r="AF1014" s="215"/>
      <c r="AG1014" s="215"/>
      <c r="AH1014" s="215"/>
    </row>
    <row r="1015" spans="15:34" ht="12">
      <c r="O1015" s="215"/>
      <c r="P1015" s="215"/>
      <c r="Q1015" s="215"/>
      <c r="R1015" s="215"/>
      <c r="S1015" s="215"/>
      <c r="T1015" s="215"/>
      <c r="U1015" s="215"/>
      <c r="V1015" s="215"/>
      <c r="W1015" s="215"/>
      <c r="X1015" s="215"/>
      <c r="Y1015" s="215"/>
      <c r="Z1015" s="215"/>
      <c r="AA1015" s="215"/>
      <c r="AB1015" s="215"/>
      <c r="AC1015" s="215"/>
      <c r="AD1015" s="215"/>
      <c r="AE1015" s="215"/>
      <c r="AF1015" s="215"/>
      <c r="AG1015" s="215"/>
      <c r="AH1015" s="215"/>
    </row>
    <row r="1016" spans="15:34" ht="12">
      <c r="O1016" s="215"/>
      <c r="P1016" s="215"/>
      <c r="Q1016" s="215"/>
      <c r="R1016" s="215"/>
      <c r="S1016" s="215"/>
      <c r="T1016" s="215"/>
      <c r="U1016" s="215"/>
      <c r="V1016" s="215"/>
      <c r="W1016" s="215"/>
      <c r="X1016" s="215"/>
      <c r="Y1016" s="215"/>
      <c r="Z1016" s="215"/>
      <c r="AA1016" s="215"/>
      <c r="AB1016" s="215"/>
      <c r="AC1016" s="215"/>
      <c r="AD1016" s="215"/>
      <c r="AE1016" s="215"/>
      <c r="AF1016" s="215"/>
      <c r="AG1016" s="215"/>
      <c r="AH1016" s="215"/>
    </row>
    <row r="1017" spans="15:34" ht="12">
      <c r="O1017" s="215"/>
      <c r="P1017" s="215"/>
      <c r="Q1017" s="215"/>
      <c r="R1017" s="215"/>
      <c r="S1017" s="215"/>
      <c r="T1017" s="215"/>
      <c r="U1017" s="215"/>
      <c r="V1017" s="215"/>
      <c r="W1017" s="215"/>
      <c r="X1017" s="215"/>
      <c r="Y1017" s="215"/>
      <c r="Z1017" s="215"/>
      <c r="AA1017" s="215"/>
      <c r="AB1017" s="215"/>
      <c r="AC1017" s="215"/>
      <c r="AD1017" s="215"/>
      <c r="AE1017" s="215"/>
      <c r="AF1017" s="215"/>
      <c r="AG1017" s="215"/>
      <c r="AH1017" s="215"/>
    </row>
    <row r="1018" spans="15:34" ht="12">
      <c r="O1018" s="215"/>
      <c r="P1018" s="215"/>
      <c r="Q1018" s="215"/>
      <c r="R1018" s="215"/>
      <c r="S1018" s="215"/>
      <c r="T1018" s="215"/>
      <c r="U1018" s="215"/>
      <c r="V1018" s="215"/>
      <c r="W1018" s="215"/>
      <c r="X1018" s="215"/>
      <c r="Y1018" s="215"/>
      <c r="Z1018" s="215"/>
      <c r="AA1018" s="215"/>
      <c r="AB1018" s="215"/>
      <c r="AC1018" s="215"/>
      <c r="AD1018" s="215"/>
      <c r="AE1018" s="215"/>
      <c r="AF1018" s="215"/>
      <c r="AG1018" s="215"/>
      <c r="AH1018" s="215"/>
    </row>
    <row r="1019" spans="15:34" ht="12">
      <c r="O1019" s="215"/>
      <c r="P1019" s="215"/>
      <c r="Q1019" s="215"/>
      <c r="R1019" s="215"/>
      <c r="S1019" s="215"/>
      <c r="T1019" s="215"/>
      <c r="U1019" s="215"/>
      <c r="V1019" s="215"/>
      <c r="W1019" s="215"/>
      <c r="X1019" s="215"/>
      <c r="Y1019" s="215"/>
      <c r="Z1019" s="215"/>
      <c r="AA1019" s="215"/>
      <c r="AB1019" s="215"/>
      <c r="AC1019" s="215"/>
      <c r="AD1019" s="215"/>
      <c r="AE1019" s="215"/>
      <c r="AF1019" s="215"/>
      <c r="AG1019" s="215"/>
      <c r="AH1019" s="215"/>
    </row>
    <row r="1020" spans="15:34" ht="12">
      <c r="O1020" s="215"/>
      <c r="P1020" s="215"/>
      <c r="Q1020" s="215"/>
      <c r="R1020" s="215"/>
      <c r="S1020" s="215"/>
      <c r="T1020" s="215"/>
      <c r="U1020" s="215"/>
      <c r="V1020" s="215"/>
      <c r="W1020" s="215"/>
      <c r="X1020" s="215"/>
      <c r="Y1020" s="215"/>
      <c r="Z1020" s="215"/>
      <c r="AA1020" s="215"/>
      <c r="AB1020" s="215"/>
      <c r="AC1020" s="215"/>
      <c r="AD1020" s="215"/>
      <c r="AE1020" s="215"/>
      <c r="AF1020" s="215"/>
      <c r="AG1020" s="215"/>
      <c r="AH1020" s="215"/>
    </row>
    <row r="1021" spans="15:34" ht="12">
      <c r="O1021" s="215"/>
      <c r="P1021" s="215"/>
      <c r="Q1021" s="215"/>
      <c r="R1021" s="215"/>
      <c r="S1021" s="215"/>
      <c r="T1021" s="215"/>
      <c r="U1021" s="215"/>
      <c r="V1021" s="215"/>
      <c r="W1021" s="215"/>
      <c r="X1021" s="215"/>
      <c r="Y1021" s="215"/>
      <c r="Z1021" s="215"/>
      <c r="AA1021" s="215"/>
      <c r="AB1021" s="215"/>
      <c r="AC1021" s="215"/>
      <c r="AD1021" s="215"/>
      <c r="AE1021" s="215"/>
      <c r="AF1021" s="215"/>
      <c r="AG1021" s="215"/>
      <c r="AH1021" s="215"/>
    </row>
    <row r="1022" spans="15:34" ht="12">
      <c r="O1022" s="215"/>
      <c r="P1022" s="215"/>
      <c r="Q1022" s="215"/>
      <c r="R1022" s="215"/>
      <c r="S1022" s="215"/>
      <c r="T1022" s="215"/>
      <c r="U1022" s="215"/>
      <c r="V1022" s="215"/>
      <c r="W1022" s="215"/>
      <c r="X1022" s="215"/>
      <c r="Y1022" s="215"/>
      <c r="Z1022" s="215"/>
      <c r="AA1022" s="215"/>
      <c r="AB1022" s="215"/>
      <c r="AC1022" s="215"/>
      <c r="AD1022" s="215"/>
      <c r="AE1022" s="215"/>
      <c r="AF1022" s="215"/>
      <c r="AG1022" s="215"/>
      <c r="AH1022" s="215"/>
    </row>
    <row r="1023" spans="15:34" ht="12">
      <c r="O1023" s="215"/>
      <c r="P1023" s="215"/>
      <c r="Q1023" s="215"/>
      <c r="R1023" s="215"/>
      <c r="S1023" s="215"/>
      <c r="T1023" s="215"/>
      <c r="U1023" s="215"/>
      <c r="V1023" s="215"/>
      <c r="W1023" s="215"/>
      <c r="X1023" s="215"/>
      <c r="Y1023" s="215"/>
      <c r="Z1023" s="215"/>
      <c r="AA1023" s="215"/>
      <c r="AB1023" s="215"/>
      <c r="AC1023" s="215"/>
      <c r="AD1023" s="215"/>
      <c r="AE1023" s="215"/>
      <c r="AF1023" s="215"/>
      <c r="AG1023" s="215"/>
      <c r="AH1023" s="215"/>
    </row>
    <row r="1024" spans="15:34" ht="12">
      <c r="O1024" s="215"/>
      <c r="P1024" s="215"/>
      <c r="Q1024" s="215"/>
      <c r="R1024" s="215"/>
      <c r="S1024" s="215"/>
      <c r="T1024" s="215"/>
      <c r="U1024" s="215"/>
      <c r="V1024" s="215"/>
      <c r="W1024" s="215"/>
      <c r="X1024" s="215"/>
      <c r="Y1024" s="215"/>
      <c r="Z1024" s="215"/>
      <c r="AA1024" s="215"/>
      <c r="AB1024" s="215"/>
      <c r="AC1024" s="215"/>
      <c r="AD1024" s="215"/>
      <c r="AE1024" s="215"/>
      <c r="AF1024" s="215"/>
      <c r="AG1024" s="215"/>
      <c r="AH1024" s="215"/>
    </row>
    <row r="1025" spans="15:34" ht="12">
      <c r="O1025" s="215"/>
      <c r="P1025" s="215"/>
      <c r="Q1025" s="215"/>
      <c r="R1025" s="215"/>
      <c r="S1025" s="215"/>
      <c r="T1025" s="215"/>
      <c r="U1025" s="215"/>
      <c r="V1025" s="215"/>
      <c r="W1025" s="215"/>
      <c r="X1025" s="215"/>
      <c r="Y1025" s="215"/>
      <c r="Z1025" s="215"/>
      <c r="AA1025" s="215"/>
      <c r="AB1025" s="215"/>
      <c r="AC1025" s="215"/>
      <c r="AD1025" s="215"/>
      <c r="AE1025" s="215"/>
      <c r="AF1025" s="215"/>
      <c r="AG1025" s="215"/>
      <c r="AH1025" s="215"/>
    </row>
    <row r="1026" spans="15:34" ht="12">
      <c r="O1026" s="215"/>
      <c r="P1026" s="215"/>
      <c r="Q1026" s="215"/>
      <c r="R1026" s="215"/>
      <c r="S1026" s="215"/>
      <c r="T1026" s="215"/>
      <c r="U1026" s="215"/>
      <c r="V1026" s="215"/>
      <c r="W1026" s="215"/>
      <c r="X1026" s="215"/>
      <c r="Y1026" s="215"/>
      <c r="Z1026" s="215"/>
      <c r="AA1026" s="215"/>
      <c r="AB1026" s="215"/>
      <c r="AC1026" s="215"/>
      <c r="AD1026" s="215"/>
      <c r="AE1026" s="215"/>
      <c r="AF1026" s="215"/>
      <c r="AG1026" s="215"/>
      <c r="AH1026" s="215"/>
    </row>
    <row r="1027" spans="15:34" ht="12">
      <c r="O1027" s="215"/>
      <c r="P1027" s="215"/>
      <c r="Q1027" s="215"/>
      <c r="R1027" s="215"/>
      <c r="S1027" s="215"/>
      <c r="T1027" s="215"/>
      <c r="U1027" s="215"/>
      <c r="V1027" s="215"/>
      <c r="W1027" s="215"/>
      <c r="X1027" s="215"/>
      <c r="Y1027" s="215"/>
      <c r="Z1027" s="215"/>
      <c r="AA1027" s="215"/>
      <c r="AB1027" s="215"/>
      <c r="AC1027" s="215"/>
      <c r="AD1027" s="215"/>
      <c r="AE1027" s="215"/>
      <c r="AF1027" s="215"/>
      <c r="AG1027" s="215"/>
      <c r="AH1027" s="215"/>
    </row>
    <row r="1028" spans="15:34" ht="12">
      <c r="O1028" s="215"/>
      <c r="P1028" s="215"/>
      <c r="Q1028" s="215"/>
      <c r="R1028" s="215"/>
      <c r="S1028" s="215"/>
      <c r="T1028" s="215"/>
      <c r="U1028" s="215"/>
      <c r="V1028" s="215"/>
      <c r="W1028" s="215"/>
      <c r="X1028" s="215"/>
      <c r="Y1028" s="215"/>
      <c r="Z1028" s="215"/>
      <c r="AA1028" s="215"/>
      <c r="AB1028" s="215"/>
      <c r="AC1028" s="215"/>
      <c r="AD1028" s="215"/>
      <c r="AE1028" s="215"/>
      <c r="AF1028" s="215"/>
      <c r="AG1028" s="215"/>
      <c r="AH1028" s="215"/>
    </row>
    <row r="1029" spans="15:34" ht="12">
      <c r="O1029" s="215"/>
      <c r="P1029" s="215"/>
      <c r="Q1029" s="215"/>
      <c r="R1029" s="215"/>
      <c r="S1029" s="215"/>
      <c r="T1029" s="215"/>
      <c r="U1029" s="215"/>
      <c r="V1029" s="215"/>
      <c r="W1029" s="215"/>
      <c r="X1029" s="215"/>
      <c r="Y1029" s="215"/>
      <c r="Z1029" s="215"/>
      <c r="AA1029" s="215"/>
      <c r="AB1029" s="215"/>
      <c r="AC1029" s="215"/>
      <c r="AD1029" s="215"/>
      <c r="AE1029" s="215"/>
      <c r="AF1029" s="215"/>
      <c r="AG1029" s="215"/>
      <c r="AH1029" s="215"/>
    </row>
    <row r="1030" spans="15:34" ht="12">
      <c r="O1030" s="215"/>
      <c r="P1030" s="215"/>
      <c r="Q1030" s="215"/>
      <c r="R1030" s="215"/>
      <c r="S1030" s="215"/>
      <c r="T1030" s="215"/>
      <c r="U1030" s="215"/>
      <c r="V1030" s="215"/>
      <c r="W1030" s="215"/>
      <c r="X1030" s="215"/>
      <c r="Y1030" s="215"/>
      <c r="Z1030" s="215"/>
      <c r="AA1030" s="215"/>
      <c r="AB1030" s="215"/>
      <c r="AC1030" s="215"/>
      <c r="AD1030" s="215"/>
      <c r="AE1030" s="215"/>
      <c r="AF1030" s="215"/>
      <c r="AG1030" s="215"/>
      <c r="AH1030" s="215"/>
    </row>
    <row r="1031" spans="15:34" ht="12">
      <c r="O1031" s="215"/>
      <c r="P1031" s="215"/>
      <c r="Q1031" s="215"/>
      <c r="R1031" s="215"/>
      <c r="S1031" s="215"/>
      <c r="T1031" s="215"/>
      <c r="U1031" s="215"/>
      <c r="V1031" s="215"/>
      <c r="W1031" s="215"/>
      <c r="X1031" s="215"/>
      <c r="Y1031" s="215"/>
      <c r="Z1031" s="215"/>
      <c r="AA1031" s="215"/>
      <c r="AB1031" s="215"/>
      <c r="AC1031" s="215"/>
      <c r="AD1031" s="215"/>
      <c r="AE1031" s="215"/>
      <c r="AF1031" s="215"/>
      <c r="AG1031" s="215"/>
      <c r="AH1031" s="215"/>
    </row>
    <row r="1032" spans="15:34" ht="12">
      <c r="O1032" s="215"/>
      <c r="P1032" s="215"/>
      <c r="Q1032" s="215"/>
      <c r="R1032" s="215"/>
      <c r="S1032" s="215"/>
      <c r="T1032" s="215"/>
      <c r="U1032" s="215"/>
      <c r="V1032" s="215"/>
      <c r="W1032" s="215"/>
      <c r="X1032" s="215"/>
      <c r="Y1032" s="215"/>
      <c r="Z1032" s="215"/>
      <c r="AA1032" s="215"/>
      <c r="AB1032" s="215"/>
      <c r="AC1032" s="215"/>
      <c r="AD1032" s="215"/>
      <c r="AE1032" s="215"/>
      <c r="AF1032" s="215"/>
      <c r="AG1032" s="215"/>
      <c r="AH1032" s="215"/>
    </row>
    <row r="1033" spans="15:34" ht="12">
      <c r="O1033" s="215"/>
      <c r="P1033" s="215"/>
      <c r="Q1033" s="215"/>
      <c r="R1033" s="215"/>
      <c r="S1033" s="215"/>
      <c r="T1033" s="215"/>
      <c r="U1033" s="215"/>
      <c r="V1033" s="215"/>
      <c r="W1033" s="215"/>
      <c r="X1033" s="215"/>
      <c r="Y1033" s="215"/>
      <c r="Z1033" s="215"/>
      <c r="AA1033" s="215"/>
      <c r="AB1033" s="215"/>
      <c r="AC1033" s="215"/>
      <c r="AD1033" s="215"/>
      <c r="AE1033" s="215"/>
      <c r="AF1033" s="215"/>
      <c r="AG1033" s="215"/>
      <c r="AH1033" s="215"/>
    </row>
    <row r="1034" spans="15:34" ht="12">
      <c r="O1034" s="215"/>
      <c r="P1034" s="215"/>
      <c r="Q1034" s="215"/>
      <c r="R1034" s="215"/>
      <c r="S1034" s="215"/>
      <c r="T1034" s="215"/>
      <c r="U1034" s="215"/>
      <c r="V1034" s="215"/>
      <c r="W1034" s="215"/>
      <c r="X1034" s="215"/>
      <c r="Y1034" s="215"/>
      <c r="Z1034" s="215"/>
      <c r="AA1034" s="215"/>
      <c r="AB1034" s="215"/>
      <c r="AC1034" s="215"/>
      <c r="AD1034" s="215"/>
      <c r="AE1034" s="215"/>
      <c r="AF1034" s="215"/>
      <c r="AG1034" s="215"/>
      <c r="AH1034" s="215"/>
    </row>
    <row r="1035" spans="15:34" ht="12">
      <c r="O1035" s="215"/>
      <c r="P1035" s="215"/>
      <c r="Q1035" s="215"/>
      <c r="R1035" s="215"/>
      <c r="S1035" s="215"/>
      <c r="T1035" s="215"/>
      <c r="U1035" s="215"/>
      <c r="V1035" s="215"/>
      <c r="W1035" s="215"/>
      <c r="X1035" s="215"/>
      <c r="Y1035" s="215"/>
      <c r="Z1035" s="215"/>
      <c r="AA1035" s="215"/>
      <c r="AB1035" s="215"/>
      <c r="AC1035" s="215"/>
      <c r="AD1035" s="215"/>
      <c r="AE1035" s="215"/>
      <c r="AF1035" s="215"/>
      <c r="AG1035" s="215"/>
      <c r="AH1035" s="215"/>
    </row>
    <row r="1036" spans="15:34" ht="12">
      <c r="O1036" s="215"/>
      <c r="P1036" s="215"/>
      <c r="Q1036" s="215"/>
      <c r="R1036" s="215"/>
      <c r="S1036" s="215"/>
      <c r="T1036" s="215"/>
      <c r="U1036" s="215"/>
      <c r="V1036" s="215"/>
      <c r="W1036" s="215"/>
      <c r="X1036" s="215"/>
      <c r="Y1036" s="215"/>
      <c r="Z1036" s="215"/>
      <c r="AA1036" s="215"/>
      <c r="AB1036" s="215"/>
      <c r="AC1036" s="215"/>
      <c r="AD1036" s="215"/>
      <c r="AE1036" s="215"/>
      <c r="AF1036" s="215"/>
      <c r="AG1036" s="215"/>
      <c r="AH1036" s="215"/>
    </row>
    <row r="1037" spans="15:34" ht="12">
      <c r="O1037" s="215"/>
      <c r="P1037" s="215"/>
      <c r="Q1037" s="215"/>
      <c r="R1037" s="215"/>
      <c r="S1037" s="215"/>
      <c r="T1037" s="215"/>
      <c r="U1037" s="215"/>
      <c r="V1037" s="215"/>
      <c r="W1037" s="215"/>
      <c r="X1037" s="215"/>
      <c r="Y1037" s="215"/>
      <c r="Z1037" s="215"/>
      <c r="AA1037" s="215"/>
      <c r="AB1037" s="215"/>
      <c r="AC1037" s="215"/>
      <c r="AD1037" s="215"/>
      <c r="AE1037" s="215"/>
      <c r="AF1037" s="215"/>
      <c r="AG1037" s="215"/>
      <c r="AH1037" s="215"/>
    </row>
    <row r="1038" spans="15:34" ht="12">
      <c r="O1038" s="215"/>
      <c r="P1038" s="215"/>
      <c r="Q1038" s="215"/>
      <c r="R1038" s="215"/>
      <c r="S1038" s="215"/>
      <c r="T1038" s="215"/>
      <c r="U1038" s="215"/>
      <c r="V1038" s="215"/>
      <c r="W1038" s="215"/>
      <c r="X1038" s="215"/>
      <c r="Y1038" s="215"/>
      <c r="Z1038" s="215"/>
      <c r="AA1038" s="215"/>
      <c r="AB1038" s="215"/>
      <c r="AC1038" s="215"/>
      <c r="AD1038" s="215"/>
      <c r="AE1038" s="215"/>
      <c r="AF1038" s="215"/>
      <c r="AG1038" s="215"/>
      <c r="AH1038" s="215"/>
    </row>
    <row r="1039" spans="15:34" ht="12">
      <c r="O1039" s="215"/>
      <c r="P1039" s="215"/>
      <c r="Q1039" s="215"/>
      <c r="R1039" s="215"/>
      <c r="S1039" s="215"/>
      <c r="T1039" s="215"/>
      <c r="U1039" s="215"/>
      <c r="V1039" s="215"/>
      <c r="W1039" s="215"/>
      <c r="X1039" s="215"/>
      <c r="Y1039" s="215"/>
      <c r="Z1039" s="215"/>
      <c r="AA1039" s="215"/>
      <c r="AB1039" s="215"/>
      <c r="AC1039" s="215"/>
      <c r="AD1039" s="215"/>
      <c r="AE1039" s="215"/>
      <c r="AF1039" s="215"/>
      <c r="AG1039" s="215"/>
      <c r="AH1039" s="215"/>
    </row>
    <row r="1040" spans="15:34" ht="12">
      <c r="O1040" s="215"/>
      <c r="P1040" s="215"/>
      <c r="Q1040" s="215"/>
      <c r="R1040" s="215"/>
      <c r="S1040" s="215"/>
      <c r="T1040" s="215"/>
      <c r="U1040" s="215"/>
      <c r="V1040" s="215"/>
      <c r="W1040" s="215"/>
      <c r="X1040" s="215"/>
      <c r="Y1040" s="215"/>
      <c r="Z1040" s="215"/>
      <c r="AA1040" s="215"/>
      <c r="AB1040" s="215"/>
      <c r="AC1040" s="215"/>
      <c r="AD1040" s="215"/>
      <c r="AE1040" s="215"/>
      <c r="AF1040" s="215"/>
      <c r="AG1040" s="215"/>
      <c r="AH1040" s="215"/>
    </row>
    <row r="1041" spans="15:34" ht="12">
      <c r="O1041" s="215"/>
      <c r="P1041" s="215"/>
      <c r="Q1041" s="215"/>
      <c r="R1041" s="215"/>
      <c r="S1041" s="215"/>
      <c r="T1041" s="215"/>
      <c r="U1041" s="215"/>
      <c r="V1041" s="215"/>
      <c r="W1041" s="215"/>
      <c r="X1041" s="215"/>
      <c r="Y1041" s="215"/>
      <c r="Z1041" s="215"/>
      <c r="AA1041" s="215"/>
      <c r="AB1041" s="215"/>
      <c r="AC1041" s="215"/>
      <c r="AD1041" s="215"/>
      <c r="AE1041" s="215"/>
      <c r="AF1041" s="215"/>
      <c r="AG1041" s="215"/>
      <c r="AH1041" s="215"/>
    </row>
    <row r="1042" spans="15:34" ht="12">
      <c r="O1042" s="215"/>
      <c r="P1042" s="215"/>
      <c r="Q1042" s="215"/>
      <c r="R1042" s="215"/>
      <c r="S1042" s="215"/>
      <c r="T1042" s="215"/>
      <c r="U1042" s="215"/>
      <c r="V1042" s="215"/>
      <c r="W1042" s="215"/>
      <c r="X1042" s="215"/>
      <c r="Y1042" s="215"/>
      <c r="Z1042" s="215"/>
      <c r="AA1042" s="215"/>
      <c r="AB1042" s="215"/>
      <c r="AC1042" s="215"/>
      <c r="AD1042" s="215"/>
      <c r="AE1042" s="215"/>
      <c r="AF1042" s="215"/>
      <c r="AG1042" s="215"/>
      <c r="AH1042" s="215"/>
    </row>
    <row r="1043" spans="15:34" ht="12">
      <c r="O1043" s="215"/>
      <c r="P1043" s="215"/>
      <c r="Q1043" s="215"/>
      <c r="R1043" s="215"/>
      <c r="S1043" s="215"/>
      <c r="T1043" s="215"/>
      <c r="U1043" s="215"/>
      <c r="V1043" s="215"/>
      <c r="W1043" s="215"/>
      <c r="X1043" s="215"/>
      <c r="Y1043" s="215"/>
      <c r="Z1043" s="215"/>
      <c r="AA1043" s="215"/>
      <c r="AB1043" s="215"/>
      <c r="AC1043" s="215"/>
      <c r="AD1043" s="215"/>
      <c r="AE1043" s="215"/>
      <c r="AF1043" s="215"/>
      <c r="AG1043" s="215"/>
      <c r="AH1043" s="215"/>
    </row>
    <row r="1044" spans="15:34" ht="12">
      <c r="O1044" s="215"/>
      <c r="P1044" s="215"/>
      <c r="Q1044" s="215"/>
      <c r="R1044" s="215"/>
      <c r="S1044" s="215"/>
      <c r="T1044" s="215"/>
      <c r="U1044" s="215"/>
      <c r="V1044" s="215"/>
      <c r="W1044" s="215"/>
      <c r="X1044" s="215"/>
      <c r="Y1044" s="215"/>
      <c r="Z1044" s="215"/>
      <c r="AA1044" s="215"/>
      <c r="AB1044" s="215"/>
      <c r="AC1044" s="215"/>
      <c r="AD1044" s="215"/>
      <c r="AE1044" s="215"/>
      <c r="AF1044" s="215"/>
      <c r="AG1044" s="215"/>
      <c r="AH1044" s="215"/>
    </row>
    <row r="1045" spans="15:34" ht="12">
      <c r="O1045" s="215"/>
      <c r="P1045" s="215"/>
      <c r="Q1045" s="215"/>
      <c r="R1045" s="215"/>
      <c r="S1045" s="215"/>
      <c r="T1045" s="215"/>
      <c r="U1045" s="215"/>
      <c r="V1045" s="215"/>
      <c r="W1045" s="215"/>
      <c r="X1045" s="215"/>
      <c r="Y1045" s="215"/>
      <c r="Z1045" s="215"/>
      <c r="AA1045" s="215"/>
      <c r="AB1045" s="215"/>
      <c r="AC1045" s="215"/>
      <c r="AD1045" s="215"/>
      <c r="AE1045" s="215"/>
      <c r="AF1045" s="215"/>
      <c r="AG1045" s="215"/>
      <c r="AH1045" s="215"/>
    </row>
    <row r="1046" spans="15:34" ht="12">
      <c r="O1046" s="215"/>
      <c r="P1046" s="215"/>
      <c r="Q1046" s="215"/>
      <c r="R1046" s="215"/>
      <c r="S1046" s="215"/>
      <c r="T1046" s="215"/>
      <c r="U1046" s="215"/>
      <c r="V1046" s="215"/>
      <c r="W1046" s="215"/>
      <c r="X1046" s="215"/>
      <c r="Y1046" s="215"/>
      <c r="Z1046" s="215"/>
      <c r="AA1046" s="215"/>
      <c r="AB1046" s="215"/>
      <c r="AC1046" s="215"/>
      <c r="AD1046" s="215"/>
      <c r="AE1046" s="215"/>
      <c r="AF1046" s="215"/>
      <c r="AG1046" s="215"/>
      <c r="AH1046" s="215"/>
    </row>
    <row r="1047" spans="15:34" ht="12">
      <c r="O1047" s="215"/>
      <c r="P1047" s="215"/>
      <c r="Q1047" s="215"/>
      <c r="R1047" s="215"/>
      <c r="S1047" s="215"/>
      <c r="T1047" s="215"/>
      <c r="U1047" s="215"/>
      <c r="V1047" s="215"/>
      <c r="W1047" s="215"/>
      <c r="X1047" s="215"/>
      <c r="Y1047" s="215"/>
      <c r="Z1047" s="215"/>
      <c r="AA1047" s="215"/>
      <c r="AB1047" s="215"/>
      <c r="AC1047" s="215"/>
      <c r="AD1047" s="215"/>
      <c r="AE1047" s="215"/>
      <c r="AF1047" s="215"/>
      <c r="AG1047" s="215"/>
      <c r="AH1047" s="215"/>
    </row>
    <row r="1048" spans="15:34" ht="12">
      <c r="O1048" s="215"/>
      <c r="P1048" s="215"/>
      <c r="Q1048" s="215"/>
      <c r="R1048" s="215"/>
      <c r="S1048" s="215"/>
      <c r="T1048" s="215"/>
      <c r="U1048" s="215"/>
      <c r="V1048" s="215"/>
      <c r="W1048" s="215"/>
      <c r="X1048" s="215"/>
      <c r="Y1048" s="215"/>
      <c r="Z1048" s="215"/>
      <c r="AA1048" s="215"/>
      <c r="AB1048" s="215"/>
      <c r="AC1048" s="215"/>
      <c r="AD1048" s="215"/>
      <c r="AE1048" s="215"/>
      <c r="AF1048" s="215"/>
      <c r="AG1048" s="215"/>
      <c r="AH1048" s="215"/>
    </row>
    <row r="1049" spans="15:34" ht="12">
      <c r="O1049" s="215"/>
      <c r="P1049" s="215"/>
      <c r="Q1049" s="215"/>
      <c r="R1049" s="215"/>
      <c r="S1049" s="215"/>
      <c r="T1049" s="215"/>
      <c r="U1049" s="215"/>
      <c r="V1049" s="215"/>
      <c r="W1049" s="215"/>
      <c r="X1049" s="215"/>
      <c r="Y1049" s="215"/>
      <c r="Z1049" s="215"/>
      <c r="AA1049" s="215"/>
      <c r="AB1049" s="215"/>
      <c r="AC1049" s="215"/>
      <c r="AD1049" s="215"/>
      <c r="AE1049" s="215"/>
      <c r="AF1049" s="215"/>
      <c r="AG1049" s="215"/>
      <c r="AH1049" s="215"/>
    </row>
    <row r="1050" spans="15:34" ht="12">
      <c r="O1050" s="215"/>
      <c r="P1050" s="215"/>
      <c r="Q1050" s="215"/>
      <c r="R1050" s="215"/>
      <c r="S1050" s="215"/>
      <c r="T1050" s="215"/>
      <c r="U1050" s="215"/>
      <c r="V1050" s="215"/>
      <c r="W1050" s="215"/>
      <c r="X1050" s="215"/>
      <c r="Y1050" s="215"/>
      <c r="Z1050" s="215"/>
      <c r="AA1050" s="215"/>
      <c r="AB1050" s="215"/>
      <c r="AC1050" s="215"/>
      <c r="AD1050" s="215"/>
      <c r="AE1050" s="215"/>
      <c r="AF1050" s="215"/>
      <c r="AG1050" s="215"/>
      <c r="AH1050" s="215"/>
    </row>
    <row r="1051" spans="15:34" ht="12">
      <c r="O1051" s="215"/>
      <c r="P1051" s="215"/>
      <c r="Q1051" s="215"/>
      <c r="R1051" s="215"/>
      <c r="S1051" s="215"/>
      <c r="T1051" s="215"/>
      <c r="U1051" s="215"/>
      <c r="V1051" s="215"/>
      <c r="W1051" s="215"/>
      <c r="X1051" s="215"/>
      <c r="Y1051" s="215"/>
      <c r="Z1051" s="215"/>
      <c r="AA1051" s="215"/>
      <c r="AB1051" s="215"/>
      <c r="AC1051" s="215"/>
      <c r="AD1051" s="215"/>
      <c r="AE1051" s="215"/>
      <c r="AF1051" s="215"/>
      <c r="AG1051" s="215"/>
      <c r="AH1051" s="215"/>
    </row>
    <row r="1052" spans="15:34" ht="12">
      <c r="O1052" s="215"/>
      <c r="P1052" s="215"/>
      <c r="Q1052" s="215"/>
      <c r="R1052" s="215"/>
      <c r="S1052" s="215"/>
      <c r="T1052" s="215"/>
      <c r="U1052" s="215"/>
      <c r="V1052" s="215"/>
      <c r="W1052" s="215"/>
      <c r="X1052" s="215"/>
      <c r="Y1052" s="215"/>
      <c r="Z1052" s="215"/>
      <c r="AA1052" s="215"/>
      <c r="AB1052" s="215"/>
      <c r="AC1052" s="215"/>
      <c r="AD1052" s="215"/>
      <c r="AE1052" s="215"/>
      <c r="AF1052" s="215"/>
      <c r="AG1052" s="215"/>
      <c r="AH1052" s="215"/>
    </row>
    <row r="1053" spans="15:34" ht="12">
      <c r="O1053" s="215"/>
      <c r="P1053" s="215"/>
      <c r="Q1053" s="215"/>
      <c r="R1053" s="215"/>
      <c r="S1053" s="215"/>
      <c r="T1053" s="215"/>
      <c r="U1053" s="215"/>
      <c r="V1053" s="215"/>
      <c r="W1053" s="215"/>
      <c r="X1053" s="215"/>
      <c r="Y1053" s="215"/>
      <c r="Z1053" s="215"/>
      <c r="AA1053" s="215"/>
      <c r="AB1053" s="215"/>
      <c r="AC1053" s="215"/>
      <c r="AD1053" s="215"/>
      <c r="AE1053" s="215"/>
      <c r="AF1053" s="215"/>
      <c r="AG1053" s="215"/>
      <c r="AH1053" s="215"/>
    </row>
    <row r="1054" spans="15:34" ht="12">
      <c r="O1054" s="215"/>
      <c r="P1054" s="215"/>
      <c r="Q1054" s="215"/>
      <c r="R1054" s="215"/>
      <c r="S1054" s="215"/>
      <c r="T1054" s="215"/>
      <c r="U1054" s="215"/>
      <c r="V1054" s="215"/>
      <c r="W1054" s="215"/>
      <c r="X1054" s="215"/>
      <c r="Y1054" s="215"/>
      <c r="Z1054" s="215"/>
      <c r="AA1054" s="215"/>
      <c r="AB1054" s="215"/>
      <c r="AC1054" s="215"/>
      <c r="AD1054" s="215"/>
      <c r="AE1054" s="215"/>
      <c r="AF1054" s="215"/>
      <c r="AG1054" s="215"/>
      <c r="AH1054" s="215"/>
    </row>
    <row r="1055" spans="15:34" ht="12">
      <c r="O1055" s="215"/>
      <c r="P1055" s="215"/>
      <c r="Q1055" s="215"/>
      <c r="R1055" s="215"/>
      <c r="S1055" s="215"/>
      <c r="T1055" s="215"/>
      <c r="U1055" s="215"/>
      <c r="V1055" s="215"/>
      <c r="W1055" s="215"/>
      <c r="X1055" s="215"/>
      <c r="Y1055" s="215"/>
      <c r="Z1055" s="215"/>
      <c r="AA1055" s="215"/>
      <c r="AB1055" s="215"/>
      <c r="AC1055" s="215"/>
      <c r="AD1055" s="215"/>
      <c r="AE1055" s="215"/>
      <c r="AF1055" s="215"/>
      <c r="AG1055" s="215"/>
      <c r="AH1055" s="215"/>
    </row>
    <row r="1056" spans="15:34" ht="12">
      <c r="O1056" s="215"/>
      <c r="P1056" s="215"/>
      <c r="Q1056" s="215"/>
      <c r="R1056" s="215"/>
      <c r="S1056" s="215"/>
      <c r="T1056" s="215"/>
      <c r="U1056" s="215"/>
      <c r="V1056" s="215"/>
      <c r="W1056" s="215"/>
      <c r="X1056" s="215"/>
      <c r="Y1056" s="215"/>
      <c r="Z1056" s="215"/>
      <c r="AA1056" s="215"/>
      <c r="AB1056" s="215"/>
      <c r="AC1056" s="215"/>
      <c r="AD1056" s="215"/>
      <c r="AE1056" s="215"/>
      <c r="AF1056" s="215"/>
      <c r="AG1056" s="215"/>
      <c r="AH1056" s="215"/>
    </row>
    <row r="1057" spans="15:34" ht="12">
      <c r="O1057" s="215"/>
      <c r="P1057" s="215"/>
      <c r="Q1057" s="215"/>
      <c r="R1057" s="215"/>
      <c r="S1057" s="215"/>
      <c r="T1057" s="215"/>
      <c r="U1057" s="215"/>
      <c r="V1057" s="215"/>
      <c r="W1057" s="215"/>
      <c r="X1057" s="215"/>
      <c r="Y1057" s="215"/>
      <c r="Z1057" s="215"/>
      <c r="AA1057" s="215"/>
      <c r="AB1057" s="215"/>
      <c r="AC1057" s="215"/>
      <c r="AD1057" s="215"/>
      <c r="AE1057" s="215"/>
      <c r="AF1057" s="215"/>
      <c r="AG1057" s="215"/>
      <c r="AH1057" s="215"/>
    </row>
    <row r="1058" spans="15:34" ht="12">
      <c r="O1058" s="215"/>
      <c r="P1058" s="215"/>
      <c r="Q1058" s="215"/>
      <c r="R1058" s="215"/>
      <c r="S1058" s="215"/>
      <c r="T1058" s="215"/>
      <c r="U1058" s="215"/>
      <c r="V1058" s="215"/>
      <c r="W1058" s="215"/>
      <c r="X1058" s="215"/>
      <c r="Y1058" s="215"/>
      <c r="Z1058" s="215"/>
      <c r="AA1058" s="215"/>
      <c r="AB1058" s="215"/>
      <c r="AC1058" s="215"/>
      <c r="AD1058" s="215"/>
      <c r="AE1058" s="215"/>
      <c r="AF1058" s="215"/>
      <c r="AG1058" s="215"/>
      <c r="AH1058" s="215"/>
    </row>
    <row r="1059" spans="15:34" ht="12">
      <c r="O1059" s="215"/>
      <c r="P1059" s="215"/>
      <c r="Q1059" s="215"/>
      <c r="R1059" s="215"/>
      <c r="S1059" s="215"/>
      <c r="T1059" s="215"/>
      <c r="U1059" s="215"/>
      <c r="V1059" s="215"/>
      <c r="W1059" s="215"/>
      <c r="X1059" s="215"/>
      <c r="Y1059" s="215"/>
      <c r="Z1059" s="215"/>
      <c r="AA1059" s="215"/>
      <c r="AB1059" s="215"/>
      <c r="AC1059" s="215"/>
      <c r="AD1059" s="215"/>
      <c r="AE1059" s="215"/>
      <c r="AF1059" s="215"/>
      <c r="AG1059" s="215"/>
      <c r="AH1059" s="215"/>
    </row>
    <row r="1060" spans="15:34" ht="12">
      <c r="O1060" s="215"/>
      <c r="P1060" s="215"/>
      <c r="Q1060" s="215"/>
      <c r="R1060" s="215"/>
      <c r="S1060" s="215"/>
      <c r="T1060" s="215"/>
      <c r="U1060" s="215"/>
      <c r="V1060" s="215"/>
      <c r="W1060" s="215"/>
      <c r="X1060" s="215"/>
      <c r="Y1060" s="215"/>
      <c r="Z1060" s="215"/>
      <c r="AA1060" s="215"/>
      <c r="AB1060" s="215"/>
      <c r="AC1060" s="215"/>
      <c r="AD1060" s="215"/>
      <c r="AE1060" s="215"/>
      <c r="AF1060" s="215"/>
      <c r="AG1060" s="215"/>
      <c r="AH1060" s="215"/>
    </row>
    <row r="1061" spans="15:34" ht="12">
      <c r="O1061" s="215"/>
      <c r="P1061" s="215"/>
      <c r="Q1061" s="215"/>
      <c r="R1061" s="215"/>
      <c r="S1061" s="215"/>
      <c r="T1061" s="215"/>
      <c r="U1061" s="215"/>
      <c r="V1061" s="215"/>
      <c r="W1061" s="215"/>
      <c r="X1061" s="215"/>
      <c r="Y1061" s="215"/>
      <c r="Z1061" s="215"/>
      <c r="AA1061" s="215"/>
      <c r="AB1061" s="215"/>
      <c r="AC1061" s="215"/>
      <c r="AD1061" s="215"/>
      <c r="AE1061" s="215"/>
      <c r="AF1061" s="215"/>
      <c r="AG1061" s="215"/>
      <c r="AH1061" s="215"/>
    </row>
    <row r="1062" spans="15:34" ht="12">
      <c r="O1062" s="215"/>
      <c r="P1062" s="215"/>
      <c r="Q1062" s="215"/>
      <c r="R1062" s="215"/>
      <c r="S1062" s="215"/>
      <c r="T1062" s="215"/>
      <c r="U1062" s="215"/>
      <c r="V1062" s="215"/>
      <c r="W1062" s="215"/>
      <c r="X1062" s="215"/>
      <c r="Y1062" s="215"/>
      <c r="Z1062" s="215"/>
      <c r="AA1062" s="215"/>
      <c r="AB1062" s="215"/>
      <c r="AC1062" s="215"/>
      <c r="AD1062" s="215"/>
      <c r="AE1062" s="215"/>
      <c r="AF1062" s="215"/>
      <c r="AG1062" s="215"/>
      <c r="AH1062" s="215"/>
    </row>
    <row r="1063" spans="15:34" ht="12">
      <c r="O1063" s="215"/>
      <c r="P1063" s="215"/>
      <c r="Q1063" s="215"/>
      <c r="R1063" s="215"/>
      <c r="S1063" s="215"/>
      <c r="T1063" s="215"/>
      <c r="U1063" s="215"/>
      <c r="V1063" s="215"/>
      <c r="W1063" s="215"/>
      <c r="X1063" s="215"/>
      <c r="Y1063" s="215"/>
      <c r="Z1063" s="215"/>
      <c r="AA1063" s="215"/>
      <c r="AB1063" s="215"/>
      <c r="AC1063" s="215"/>
      <c r="AD1063" s="215"/>
      <c r="AE1063" s="215"/>
      <c r="AF1063" s="215"/>
      <c r="AG1063" s="215"/>
      <c r="AH1063" s="215"/>
    </row>
    <row r="1064" spans="15:34" ht="12">
      <c r="O1064" s="215"/>
      <c r="P1064" s="215"/>
      <c r="Q1064" s="215"/>
      <c r="R1064" s="215"/>
      <c r="S1064" s="215"/>
      <c r="T1064" s="215"/>
      <c r="U1064" s="215"/>
      <c r="V1064" s="215"/>
      <c r="W1064" s="215"/>
      <c r="X1064" s="215"/>
      <c r="Y1064" s="215"/>
      <c r="Z1064" s="215"/>
      <c r="AA1064" s="215"/>
      <c r="AB1064" s="215"/>
      <c r="AC1064" s="215"/>
      <c r="AD1064" s="215"/>
      <c r="AE1064" s="215"/>
      <c r="AF1064" s="215"/>
      <c r="AG1064" s="215"/>
      <c r="AH1064" s="215"/>
    </row>
    <row r="1065" spans="15:34" ht="12">
      <c r="O1065" s="215"/>
      <c r="P1065" s="215"/>
      <c r="Q1065" s="215"/>
      <c r="R1065" s="215"/>
      <c r="S1065" s="215"/>
      <c r="T1065" s="215"/>
      <c r="U1065" s="215"/>
      <c r="V1065" s="215"/>
      <c r="W1065" s="215"/>
      <c r="X1065" s="215"/>
      <c r="Y1065" s="215"/>
      <c r="Z1065" s="215"/>
      <c r="AA1065" s="215"/>
      <c r="AB1065" s="215"/>
      <c r="AC1065" s="215"/>
      <c r="AD1065" s="215"/>
      <c r="AE1065" s="215"/>
      <c r="AF1065" s="215"/>
      <c r="AG1065" s="215"/>
      <c r="AH1065" s="215"/>
    </row>
    <row r="1066" spans="15:34" ht="12">
      <c r="O1066" s="215"/>
      <c r="P1066" s="215"/>
      <c r="Q1066" s="215"/>
      <c r="R1066" s="215"/>
      <c r="S1066" s="215"/>
      <c r="T1066" s="215"/>
      <c r="U1066" s="215"/>
      <c r="V1066" s="215"/>
      <c r="W1066" s="215"/>
      <c r="X1066" s="215"/>
      <c r="Y1066" s="215"/>
      <c r="Z1066" s="215"/>
      <c r="AA1066" s="215"/>
      <c r="AB1066" s="215"/>
      <c r="AC1066" s="215"/>
      <c r="AD1066" s="215"/>
      <c r="AE1066" s="215"/>
      <c r="AF1066" s="215"/>
      <c r="AG1066" s="215"/>
      <c r="AH1066" s="215"/>
    </row>
    <row r="1067" spans="15:34" ht="12">
      <c r="O1067" s="215"/>
      <c r="P1067" s="215"/>
      <c r="Q1067" s="215"/>
      <c r="R1067" s="215"/>
      <c r="S1067" s="215"/>
      <c r="T1067" s="215"/>
      <c r="U1067" s="215"/>
      <c r="V1067" s="215"/>
      <c r="W1067" s="215"/>
      <c r="X1067" s="215"/>
      <c r="Y1067" s="215"/>
      <c r="Z1067" s="215"/>
      <c r="AA1067" s="215"/>
      <c r="AB1067" s="215"/>
      <c r="AC1067" s="215"/>
      <c r="AD1067" s="215"/>
      <c r="AE1067" s="215"/>
      <c r="AF1067" s="215"/>
      <c r="AG1067" s="215"/>
      <c r="AH1067" s="215"/>
    </row>
    <row r="1068" spans="15:34" ht="12">
      <c r="O1068" s="215"/>
      <c r="P1068" s="215"/>
      <c r="Q1068" s="215"/>
      <c r="R1068" s="215"/>
      <c r="S1068" s="215"/>
      <c r="T1068" s="215"/>
      <c r="U1068" s="215"/>
      <c r="V1068" s="215"/>
      <c r="W1068" s="215"/>
      <c r="X1068" s="215"/>
      <c r="Y1068" s="215"/>
      <c r="Z1068" s="215"/>
      <c r="AA1068" s="215"/>
      <c r="AB1068" s="215"/>
      <c r="AC1068" s="215"/>
      <c r="AD1068" s="215"/>
      <c r="AE1068" s="215"/>
      <c r="AF1068" s="215"/>
      <c r="AG1068" s="215"/>
      <c r="AH1068" s="215"/>
    </row>
    <row r="1069" spans="15:34" ht="12">
      <c r="O1069" s="215"/>
      <c r="P1069" s="215"/>
      <c r="Q1069" s="215"/>
      <c r="R1069" s="215"/>
      <c r="S1069" s="215"/>
      <c r="T1069" s="215"/>
      <c r="U1069" s="215"/>
      <c r="V1069" s="215"/>
      <c r="W1069" s="215"/>
      <c r="X1069" s="215"/>
      <c r="Y1069" s="215"/>
      <c r="Z1069" s="215"/>
      <c r="AA1069" s="215"/>
      <c r="AB1069" s="215"/>
      <c r="AC1069" s="215"/>
      <c r="AD1069" s="215"/>
      <c r="AE1069" s="215"/>
      <c r="AF1069" s="215"/>
      <c r="AG1069" s="215"/>
      <c r="AH1069" s="215"/>
    </row>
    <row r="1070" spans="15:34" ht="12">
      <c r="O1070" s="215"/>
      <c r="P1070" s="215"/>
      <c r="Q1070" s="215"/>
      <c r="R1070" s="215"/>
      <c r="S1070" s="215"/>
      <c r="T1070" s="215"/>
      <c r="U1070" s="215"/>
      <c r="V1070" s="215"/>
      <c r="W1070" s="215"/>
      <c r="X1070" s="215"/>
      <c r="Y1070" s="215"/>
      <c r="Z1070" s="215"/>
      <c r="AA1070" s="215"/>
      <c r="AB1070" s="215"/>
      <c r="AC1070" s="215"/>
      <c r="AD1070" s="215"/>
      <c r="AE1070" s="215"/>
      <c r="AF1070" s="215"/>
      <c r="AG1070" s="215"/>
      <c r="AH1070" s="215"/>
    </row>
    <row r="1071" spans="15:34" ht="12">
      <c r="O1071" s="215"/>
      <c r="P1071" s="215"/>
      <c r="Q1071" s="215"/>
      <c r="R1071" s="215"/>
      <c r="S1071" s="215"/>
      <c r="T1071" s="215"/>
      <c r="U1071" s="215"/>
      <c r="V1071" s="215"/>
      <c r="W1071" s="215"/>
      <c r="X1071" s="215"/>
      <c r="Y1071" s="215"/>
      <c r="Z1071" s="215"/>
      <c r="AA1071" s="215"/>
      <c r="AB1071" s="215"/>
      <c r="AC1071" s="215"/>
      <c r="AD1071" s="215"/>
      <c r="AE1071" s="215"/>
      <c r="AF1071" s="215"/>
      <c r="AG1071" s="215"/>
      <c r="AH1071" s="215"/>
    </row>
    <row r="1072" spans="15:34" ht="12">
      <c r="O1072" s="215"/>
      <c r="P1072" s="215"/>
      <c r="Q1072" s="215"/>
      <c r="R1072" s="215"/>
      <c r="S1072" s="215"/>
      <c r="T1072" s="215"/>
      <c r="U1072" s="215"/>
      <c r="V1072" s="215"/>
      <c r="W1072" s="215"/>
      <c r="X1072" s="215"/>
      <c r="Y1072" s="215"/>
      <c r="Z1072" s="215"/>
      <c r="AA1072" s="215"/>
      <c r="AB1072" s="215"/>
      <c r="AC1072" s="215"/>
      <c r="AD1072" s="215"/>
      <c r="AE1072" s="215"/>
      <c r="AF1072" s="215"/>
      <c r="AG1072" s="215"/>
      <c r="AH1072" s="215"/>
    </row>
    <row r="1073" spans="15:34" ht="12">
      <c r="O1073" s="215"/>
      <c r="P1073" s="215"/>
      <c r="Q1073" s="215"/>
      <c r="R1073" s="215"/>
      <c r="S1073" s="215"/>
      <c r="T1073" s="215"/>
      <c r="U1073" s="215"/>
      <c r="V1073" s="215"/>
      <c r="W1073" s="215"/>
      <c r="X1073" s="215"/>
      <c r="Y1073" s="215"/>
      <c r="Z1073" s="215"/>
      <c r="AA1073" s="215"/>
      <c r="AB1073" s="215"/>
      <c r="AC1073" s="215"/>
      <c r="AD1073" s="215"/>
      <c r="AE1073" s="215"/>
      <c r="AF1073" s="215"/>
      <c r="AG1073" s="215"/>
      <c r="AH1073" s="215"/>
    </row>
    <row r="1074" spans="15:34" ht="12">
      <c r="O1074" s="215"/>
      <c r="P1074" s="215"/>
      <c r="Q1074" s="215"/>
      <c r="R1074" s="215"/>
      <c r="S1074" s="215"/>
      <c r="T1074" s="215"/>
      <c r="U1074" s="215"/>
      <c r="V1074" s="215"/>
      <c r="W1074" s="215"/>
      <c r="X1074" s="215"/>
      <c r="Y1074" s="215"/>
      <c r="Z1074" s="215"/>
      <c r="AA1074" s="215"/>
      <c r="AB1074" s="215"/>
      <c r="AC1074" s="215"/>
      <c r="AD1074" s="215"/>
      <c r="AE1074" s="215"/>
      <c r="AF1074" s="215"/>
      <c r="AG1074" s="215"/>
      <c r="AH1074" s="215"/>
    </row>
    <row r="1075" spans="15:34" ht="12">
      <c r="O1075" s="215"/>
      <c r="P1075" s="215"/>
      <c r="Q1075" s="215"/>
      <c r="R1075" s="215"/>
      <c r="S1075" s="215"/>
      <c r="T1075" s="215"/>
      <c r="U1075" s="215"/>
      <c r="V1075" s="215"/>
      <c r="W1075" s="215"/>
      <c r="X1075" s="215"/>
      <c r="Y1075" s="215"/>
      <c r="Z1075" s="215"/>
      <c r="AA1075" s="215"/>
      <c r="AB1075" s="215"/>
      <c r="AC1075" s="215"/>
      <c r="AD1075" s="215"/>
      <c r="AE1075" s="215"/>
      <c r="AF1075" s="215"/>
      <c r="AG1075" s="215"/>
      <c r="AH1075" s="215"/>
    </row>
    <row r="1076" spans="15:34" ht="12">
      <c r="O1076" s="215"/>
      <c r="P1076" s="215"/>
      <c r="Q1076" s="215"/>
      <c r="R1076" s="215"/>
      <c r="S1076" s="215"/>
      <c r="T1076" s="215"/>
      <c r="U1076" s="215"/>
      <c r="V1076" s="215"/>
      <c r="W1076" s="215"/>
      <c r="X1076" s="215"/>
      <c r="Y1076" s="215"/>
      <c r="Z1076" s="215"/>
      <c r="AA1076" s="215"/>
      <c r="AB1076" s="215"/>
      <c r="AC1076" s="215"/>
      <c r="AD1076" s="215"/>
      <c r="AE1076" s="215"/>
      <c r="AF1076" s="215"/>
      <c r="AG1076" s="215"/>
      <c r="AH1076" s="215"/>
    </row>
    <row r="1077" spans="15:34" ht="12">
      <c r="O1077" s="215"/>
      <c r="P1077" s="215"/>
      <c r="Q1077" s="215"/>
      <c r="R1077" s="215"/>
      <c r="S1077" s="215"/>
      <c r="T1077" s="215"/>
      <c r="U1077" s="215"/>
      <c r="V1077" s="215"/>
      <c r="W1077" s="215"/>
      <c r="X1077" s="215"/>
      <c r="Y1077" s="215"/>
      <c r="Z1077" s="215"/>
      <c r="AA1077" s="215"/>
      <c r="AB1077" s="215"/>
      <c r="AC1077" s="215"/>
      <c r="AD1077" s="215"/>
      <c r="AE1077" s="215"/>
      <c r="AF1077" s="215"/>
      <c r="AG1077" s="215"/>
      <c r="AH1077" s="215"/>
    </row>
    <row r="1078" spans="15:34" ht="12">
      <c r="O1078" s="215"/>
      <c r="P1078" s="215"/>
      <c r="Q1078" s="215"/>
      <c r="R1078" s="215"/>
      <c r="S1078" s="215"/>
      <c r="T1078" s="215"/>
      <c r="U1078" s="215"/>
      <c r="V1078" s="215"/>
      <c r="W1078" s="215"/>
      <c r="X1078" s="215"/>
      <c r="Y1078" s="215"/>
      <c r="Z1078" s="215"/>
      <c r="AA1078" s="215"/>
      <c r="AB1078" s="215"/>
      <c r="AC1078" s="215"/>
      <c r="AD1078" s="215"/>
      <c r="AE1078" s="215"/>
      <c r="AF1078" s="215"/>
      <c r="AG1078" s="215"/>
      <c r="AH1078" s="215"/>
    </row>
    <row r="1079" spans="15:34" ht="12">
      <c r="O1079" s="215"/>
      <c r="P1079" s="215"/>
      <c r="Q1079" s="215"/>
      <c r="R1079" s="215"/>
      <c r="S1079" s="215"/>
      <c r="T1079" s="215"/>
      <c r="U1079" s="215"/>
      <c r="V1079" s="215"/>
      <c r="W1079" s="215"/>
      <c r="X1079" s="215"/>
      <c r="Y1079" s="215"/>
      <c r="Z1079" s="215"/>
      <c r="AA1079" s="215"/>
      <c r="AB1079" s="215"/>
      <c r="AC1079" s="215"/>
      <c r="AD1079" s="215"/>
      <c r="AE1079" s="215"/>
      <c r="AF1079" s="215"/>
      <c r="AG1079" s="215"/>
      <c r="AH1079" s="215"/>
    </row>
    <row r="1080" spans="15:34" ht="12">
      <c r="O1080" s="215"/>
      <c r="P1080" s="215"/>
      <c r="Q1080" s="215"/>
      <c r="R1080" s="215"/>
      <c r="S1080" s="215"/>
      <c r="T1080" s="215"/>
      <c r="U1080" s="215"/>
      <c r="V1080" s="215"/>
      <c r="W1080" s="215"/>
      <c r="X1080" s="215"/>
      <c r="Y1080" s="215"/>
      <c r="Z1080" s="215"/>
      <c r="AA1080" s="215"/>
      <c r="AB1080" s="215"/>
      <c r="AC1080" s="215"/>
      <c r="AD1080" s="215"/>
      <c r="AE1080" s="215"/>
      <c r="AF1080" s="215"/>
      <c r="AG1080" s="215"/>
      <c r="AH1080" s="215"/>
    </row>
    <row r="1081" spans="15:34" ht="12">
      <c r="O1081" s="215"/>
      <c r="P1081" s="215"/>
      <c r="Q1081" s="215"/>
      <c r="R1081" s="215"/>
      <c r="S1081" s="215"/>
      <c r="T1081" s="215"/>
      <c r="U1081" s="215"/>
      <c r="V1081" s="215"/>
      <c r="W1081" s="215"/>
      <c r="X1081" s="215"/>
      <c r="Y1081" s="215"/>
      <c r="Z1081" s="215"/>
      <c r="AA1081" s="215"/>
      <c r="AB1081" s="215"/>
      <c r="AC1081" s="215"/>
      <c r="AD1081" s="215"/>
      <c r="AE1081" s="215"/>
      <c r="AF1081" s="215"/>
      <c r="AG1081" s="215"/>
      <c r="AH1081" s="215"/>
    </row>
    <row r="1082" spans="15:34" ht="12">
      <c r="O1082" s="215"/>
      <c r="P1082" s="215"/>
      <c r="Q1082" s="215"/>
      <c r="R1082" s="215"/>
      <c r="S1082" s="215"/>
      <c r="T1082" s="215"/>
      <c r="U1082" s="215"/>
      <c r="V1082" s="215"/>
      <c r="W1082" s="215"/>
      <c r="X1082" s="215"/>
      <c r="Y1082" s="215"/>
      <c r="Z1082" s="215"/>
      <c r="AA1082" s="215"/>
      <c r="AB1082" s="215"/>
      <c r="AC1082" s="215"/>
      <c r="AD1082" s="215"/>
      <c r="AE1082" s="215"/>
      <c r="AF1082" s="215"/>
      <c r="AG1082" s="215"/>
      <c r="AH1082" s="215"/>
    </row>
    <row r="1083" spans="15:34" ht="12">
      <c r="O1083" s="215"/>
      <c r="P1083" s="215"/>
      <c r="Q1083" s="215"/>
      <c r="R1083" s="215"/>
      <c r="S1083" s="215"/>
      <c r="T1083" s="215"/>
      <c r="U1083" s="215"/>
      <c r="V1083" s="215"/>
      <c r="W1083" s="215"/>
      <c r="X1083" s="215"/>
      <c r="Y1083" s="215"/>
      <c r="Z1083" s="215"/>
      <c r="AA1083" s="215"/>
      <c r="AB1083" s="215"/>
      <c r="AC1083" s="215"/>
      <c r="AD1083" s="215"/>
      <c r="AE1083" s="215"/>
      <c r="AF1083" s="215"/>
      <c r="AG1083" s="215"/>
      <c r="AH1083" s="215"/>
    </row>
    <row r="1084" spans="15:34" ht="12">
      <c r="O1084" s="215"/>
      <c r="P1084" s="215"/>
      <c r="Q1084" s="215"/>
      <c r="R1084" s="215"/>
      <c r="S1084" s="215"/>
      <c r="T1084" s="215"/>
      <c r="U1084" s="215"/>
      <c r="V1084" s="215"/>
      <c r="W1084" s="215"/>
      <c r="X1084" s="215"/>
      <c r="Y1084" s="215"/>
      <c r="Z1084" s="215"/>
      <c r="AA1084" s="215"/>
      <c r="AB1084" s="215"/>
      <c r="AC1084" s="215"/>
      <c r="AD1084" s="215"/>
      <c r="AE1084" s="215"/>
      <c r="AF1084" s="215"/>
      <c r="AG1084" s="215"/>
      <c r="AH1084" s="215"/>
    </row>
    <row r="1085" spans="15:34" ht="12">
      <c r="O1085" s="215"/>
      <c r="P1085" s="215"/>
      <c r="Q1085" s="215"/>
      <c r="R1085" s="215"/>
      <c r="S1085" s="215"/>
      <c r="T1085" s="215"/>
      <c r="U1085" s="215"/>
      <c r="V1085" s="215"/>
      <c r="W1085" s="215"/>
      <c r="X1085" s="215"/>
      <c r="Y1085" s="215"/>
      <c r="Z1085" s="215"/>
      <c r="AA1085" s="215"/>
      <c r="AB1085" s="215"/>
      <c r="AC1085" s="215"/>
      <c r="AD1085" s="215"/>
      <c r="AE1085" s="215"/>
      <c r="AF1085" s="215"/>
      <c r="AG1085" s="215"/>
      <c r="AH1085" s="215"/>
    </row>
    <row r="1086" spans="15:34" ht="12">
      <c r="O1086" s="215"/>
      <c r="P1086" s="215"/>
      <c r="Q1086" s="215"/>
      <c r="R1086" s="215"/>
      <c r="S1086" s="215"/>
      <c r="T1086" s="215"/>
      <c r="U1086" s="215"/>
      <c r="V1086" s="215"/>
      <c r="W1086" s="215"/>
      <c r="X1086" s="215"/>
      <c r="Y1086" s="215"/>
      <c r="Z1086" s="215"/>
      <c r="AA1086" s="215"/>
      <c r="AB1086" s="215"/>
      <c r="AC1086" s="215"/>
      <c r="AD1086" s="215"/>
      <c r="AE1086" s="215"/>
      <c r="AF1086" s="215"/>
      <c r="AG1086" s="215"/>
      <c r="AH1086" s="215"/>
    </row>
    <row r="1087" spans="15:34" ht="12">
      <c r="O1087" s="215"/>
      <c r="P1087" s="215"/>
      <c r="Q1087" s="215"/>
      <c r="R1087" s="215"/>
      <c r="S1087" s="215"/>
      <c r="T1087" s="215"/>
      <c r="U1087" s="215"/>
      <c r="V1087" s="215"/>
      <c r="W1087" s="215"/>
      <c r="X1087" s="215"/>
      <c r="Y1087" s="215"/>
      <c r="Z1087" s="215"/>
      <c r="AA1087" s="215"/>
      <c r="AB1087" s="215"/>
      <c r="AC1087" s="215"/>
      <c r="AD1087" s="215"/>
      <c r="AE1087" s="215"/>
      <c r="AF1087" s="215"/>
      <c r="AG1087" s="215"/>
      <c r="AH1087" s="215"/>
    </row>
    <row r="1088" spans="15:34" ht="12">
      <c r="O1088" s="215"/>
      <c r="P1088" s="215"/>
      <c r="Q1088" s="215"/>
      <c r="R1088" s="215"/>
      <c r="S1088" s="215"/>
      <c r="T1088" s="215"/>
      <c r="U1088" s="215"/>
      <c r="V1088" s="215"/>
      <c r="W1088" s="215"/>
      <c r="X1088" s="215"/>
      <c r="Y1088" s="215"/>
      <c r="Z1088" s="215"/>
      <c r="AA1088" s="215"/>
      <c r="AB1088" s="215"/>
      <c r="AC1088" s="215"/>
      <c r="AD1088" s="215"/>
      <c r="AE1088" s="215"/>
      <c r="AF1088" s="215"/>
      <c r="AG1088" s="215"/>
      <c r="AH1088" s="215"/>
    </row>
    <row r="1089" spans="15:34" ht="12">
      <c r="O1089" s="215"/>
      <c r="P1089" s="215"/>
      <c r="Q1089" s="215"/>
      <c r="R1089" s="215"/>
      <c r="S1089" s="215"/>
      <c r="T1089" s="215"/>
      <c r="U1089" s="215"/>
      <c r="V1089" s="215"/>
      <c r="W1089" s="215"/>
      <c r="X1089" s="215"/>
      <c r="Y1089" s="215"/>
      <c r="Z1089" s="215"/>
      <c r="AA1089" s="215"/>
      <c r="AB1089" s="215"/>
      <c r="AC1089" s="215"/>
      <c r="AD1089" s="215"/>
      <c r="AE1089" s="215"/>
      <c r="AF1089" s="215"/>
      <c r="AG1089" s="215"/>
      <c r="AH1089" s="215"/>
    </row>
    <row r="1090" spans="15:34" ht="12">
      <c r="O1090" s="215"/>
      <c r="P1090" s="215"/>
      <c r="Q1090" s="215"/>
      <c r="R1090" s="215"/>
      <c r="S1090" s="215"/>
      <c r="T1090" s="215"/>
      <c r="U1090" s="215"/>
      <c r="V1090" s="215"/>
      <c r="W1090" s="215"/>
      <c r="X1090" s="215"/>
      <c r="Y1090" s="215"/>
      <c r="Z1090" s="215"/>
      <c r="AA1090" s="215"/>
      <c r="AB1090" s="215"/>
      <c r="AC1090" s="215"/>
      <c r="AD1090" s="215"/>
      <c r="AE1090" s="215"/>
      <c r="AF1090" s="215"/>
      <c r="AG1090" s="215"/>
      <c r="AH1090" s="215"/>
    </row>
    <row r="1091" spans="15:34" ht="12">
      <c r="O1091" s="215"/>
      <c r="P1091" s="215"/>
      <c r="Q1091" s="215"/>
      <c r="R1091" s="215"/>
      <c r="S1091" s="215"/>
      <c r="T1091" s="215"/>
      <c r="U1091" s="215"/>
      <c r="V1091" s="215"/>
      <c r="W1091" s="215"/>
      <c r="X1091" s="215"/>
      <c r="Y1091" s="215"/>
      <c r="Z1091" s="215"/>
      <c r="AA1091" s="215"/>
      <c r="AB1091" s="215"/>
      <c r="AC1091" s="215"/>
      <c r="AD1091" s="215"/>
      <c r="AE1091" s="215"/>
      <c r="AF1091" s="215"/>
      <c r="AG1091" s="215"/>
      <c r="AH1091" s="215"/>
    </row>
    <row r="1092" spans="15:34" ht="12">
      <c r="O1092" s="215"/>
      <c r="P1092" s="215"/>
      <c r="Q1092" s="215"/>
      <c r="R1092" s="215"/>
      <c r="S1092" s="215"/>
      <c r="T1092" s="215"/>
      <c r="U1092" s="215"/>
      <c r="V1092" s="215"/>
      <c r="W1092" s="215"/>
      <c r="X1092" s="215"/>
      <c r="Y1092" s="215"/>
      <c r="Z1092" s="215"/>
      <c r="AA1092" s="215"/>
      <c r="AB1092" s="215"/>
      <c r="AC1092" s="215"/>
      <c r="AD1092" s="215"/>
      <c r="AE1092" s="215"/>
      <c r="AF1092" s="215"/>
      <c r="AG1092" s="215"/>
      <c r="AH1092" s="215"/>
    </row>
    <row r="1093" spans="15:34" ht="12">
      <c r="O1093" s="215"/>
      <c r="P1093" s="215"/>
      <c r="Q1093" s="215"/>
      <c r="R1093" s="215"/>
      <c r="S1093" s="215"/>
      <c r="T1093" s="215"/>
      <c r="U1093" s="215"/>
      <c r="V1093" s="215"/>
      <c r="W1093" s="215"/>
      <c r="X1093" s="215"/>
      <c r="Y1093" s="215"/>
      <c r="Z1093" s="215"/>
      <c r="AA1093" s="215"/>
      <c r="AB1093" s="215"/>
      <c r="AC1093" s="215"/>
      <c r="AD1093" s="215"/>
      <c r="AE1093" s="215"/>
      <c r="AF1093" s="215"/>
      <c r="AG1093" s="215"/>
      <c r="AH1093" s="215"/>
    </row>
    <row r="1094" spans="15:34" ht="12">
      <c r="O1094" s="215"/>
      <c r="P1094" s="215"/>
      <c r="Q1094" s="215"/>
      <c r="R1094" s="215"/>
      <c r="S1094" s="215"/>
      <c r="T1094" s="215"/>
      <c r="U1094" s="215"/>
      <c r="V1094" s="215"/>
      <c r="W1094" s="215"/>
      <c r="X1094" s="215"/>
      <c r="Y1094" s="215"/>
      <c r="Z1094" s="215"/>
      <c r="AA1094" s="215"/>
      <c r="AB1094" s="215"/>
      <c r="AC1094" s="215"/>
      <c r="AD1094" s="215"/>
      <c r="AE1094" s="215"/>
      <c r="AF1094" s="215"/>
      <c r="AG1094" s="215"/>
      <c r="AH1094" s="215"/>
    </row>
    <row r="1095" spans="15:34" ht="12">
      <c r="O1095" s="215"/>
      <c r="P1095" s="215"/>
      <c r="Q1095" s="215"/>
      <c r="R1095" s="215"/>
      <c r="S1095" s="215"/>
      <c r="T1095" s="215"/>
      <c r="U1095" s="215"/>
      <c r="V1095" s="215"/>
      <c r="W1095" s="215"/>
      <c r="X1095" s="215"/>
      <c r="Y1095" s="215"/>
      <c r="Z1095" s="215"/>
      <c r="AA1095" s="215"/>
      <c r="AB1095" s="215"/>
      <c r="AC1095" s="215"/>
      <c r="AD1095" s="215"/>
      <c r="AE1095" s="215"/>
      <c r="AF1095" s="215"/>
      <c r="AG1095" s="215"/>
      <c r="AH1095" s="215"/>
    </row>
    <row r="1096" spans="15:34" ht="12">
      <c r="O1096" s="215"/>
      <c r="P1096" s="215"/>
      <c r="Q1096" s="215"/>
      <c r="R1096" s="215"/>
      <c r="S1096" s="215"/>
      <c r="T1096" s="215"/>
      <c r="U1096" s="215"/>
      <c r="V1096" s="215"/>
      <c r="W1096" s="215"/>
      <c r="X1096" s="215"/>
      <c r="Y1096" s="215"/>
      <c r="Z1096" s="215"/>
      <c r="AA1096" s="215"/>
      <c r="AB1096" s="215"/>
      <c r="AC1096" s="215"/>
      <c r="AD1096" s="215"/>
      <c r="AE1096" s="215"/>
      <c r="AF1096" s="215"/>
      <c r="AG1096" s="215"/>
      <c r="AH1096" s="215"/>
    </row>
    <row r="1097" spans="15:34" ht="12">
      <c r="O1097" s="215"/>
      <c r="P1097" s="215"/>
      <c r="Q1097" s="215"/>
      <c r="R1097" s="215"/>
      <c r="S1097" s="215"/>
      <c r="T1097" s="215"/>
      <c r="U1097" s="215"/>
      <c r="V1097" s="215"/>
      <c r="W1097" s="215"/>
      <c r="X1097" s="215"/>
      <c r="Y1097" s="215"/>
      <c r="Z1097" s="215"/>
      <c r="AA1097" s="215"/>
      <c r="AB1097" s="215"/>
      <c r="AC1097" s="215"/>
      <c r="AD1097" s="215"/>
      <c r="AE1097" s="215"/>
      <c r="AF1097" s="215"/>
      <c r="AG1097" s="215"/>
      <c r="AH1097" s="215"/>
    </row>
    <row r="1098" spans="15:34" ht="12">
      <c r="O1098" s="215"/>
      <c r="P1098" s="215"/>
      <c r="Q1098" s="215"/>
      <c r="R1098" s="215"/>
      <c r="S1098" s="215"/>
      <c r="T1098" s="215"/>
      <c r="U1098" s="215"/>
      <c r="V1098" s="215"/>
      <c r="W1098" s="215"/>
      <c r="X1098" s="215"/>
      <c r="Y1098" s="215"/>
      <c r="Z1098" s="215"/>
      <c r="AA1098" s="215"/>
      <c r="AB1098" s="215"/>
      <c r="AC1098" s="215"/>
      <c r="AD1098" s="215"/>
      <c r="AE1098" s="215"/>
      <c r="AF1098" s="215"/>
      <c r="AG1098" s="215"/>
      <c r="AH1098" s="215"/>
    </row>
    <row r="1099" spans="15:34" ht="12">
      <c r="O1099" s="215"/>
      <c r="P1099" s="215"/>
      <c r="Q1099" s="215"/>
      <c r="R1099" s="215"/>
      <c r="S1099" s="215"/>
      <c r="T1099" s="215"/>
      <c r="U1099" s="215"/>
      <c r="V1099" s="215"/>
      <c r="W1099" s="215"/>
      <c r="X1099" s="215"/>
      <c r="Y1099" s="215"/>
      <c r="Z1099" s="215"/>
      <c r="AA1099" s="215"/>
      <c r="AB1099" s="215"/>
      <c r="AC1099" s="215"/>
      <c r="AD1099" s="215"/>
      <c r="AE1099" s="215"/>
      <c r="AF1099" s="215"/>
      <c r="AG1099" s="215"/>
      <c r="AH1099" s="215"/>
    </row>
    <row r="1100" spans="15:34" ht="12">
      <c r="O1100" s="215"/>
      <c r="P1100" s="215"/>
      <c r="Q1100" s="215"/>
      <c r="R1100" s="215"/>
      <c r="S1100" s="215"/>
      <c r="T1100" s="215"/>
      <c r="U1100" s="215"/>
      <c r="V1100" s="215"/>
      <c r="W1100" s="215"/>
      <c r="X1100" s="215"/>
      <c r="Y1100" s="215"/>
      <c r="Z1100" s="215"/>
      <c r="AA1100" s="215"/>
      <c r="AB1100" s="215"/>
      <c r="AC1100" s="215"/>
      <c r="AD1100" s="215"/>
      <c r="AE1100" s="215"/>
      <c r="AF1100" s="215"/>
      <c r="AG1100" s="215"/>
      <c r="AH1100" s="215"/>
    </row>
    <row r="1101" spans="15:34" ht="12">
      <c r="O1101" s="215"/>
      <c r="P1101" s="215"/>
      <c r="Q1101" s="215"/>
      <c r="R1101" s="215"/>
      <c r="S1101" s="215"/>
      <c r="T1101" s="215"/>
      <c r="U1101" s="215"/>
      <c r="V1101" s="215"/>
      <c r="W1101" s="215"/>
      <c r="X1101" s="215"/>
      <c r="Y1101" s="215"/>
      <c r="Z1101" s="215"/>
      <c r="AA1101" s="215"/>
      <c r="AB1101" s="215"/>
      <c r="AC1101" s="215"/>
      <c r="AD1101" s="215"/>
      <c r="AE1101" s="215"/>
      <c r="AF1101" s="215"/>
      <c r="AG1101" s="215"/>
      <c r="AH1101" s="215"/>
    </row>
    <row r="1102" spans="15:34" ht="12">
      <c r="O1102" s="215"/>
      <c r="P1102" s="215"/>
      <c r="Q1102" s="215"/>
      <c r="R1102" s="215"/>
      <c r="S1102" s="215"/>
      <c r="T1102" s="215"/>
      <c r="U1102" s="215"/>
      <c r="V1102" s="215"/>
      <c r="W1102" s="215"/>
      <c r="X1102" s="215"/>
      <c r="Y1102" s="215"/>
      <c r="Z1102" s="215"/>
      <c r="AA1102" s="215"/>
      <c r="AB1102" s="215"/>
      <c r="AC1102" s="215"/>
      <c r="AD1102" s="215"/>
      <c r="AE1102" s="215"/>
      <c r="AF1102" s="215"/>
      <c r="AG1102" s="215"/>
      <c r="AH1102" s="215"/>
    </row>
    <row r="1103" spans="15:34" ht="12">
      <c r="O1103" s="215"/>
      <c r="P1103" s="215"/>
      <c r="Q1103" s="215"/>
      <c r="R1103" s="215"/>
      <c r="S1103" s="215"/>
      <c r="T1103" s="215"/>
      <c r="U1103" s="215"/>
      <c r="V1103" s="215"/>
      <c r="W1103" s="215"/>
      <c r="X1103" s="215"/>
      <c r="Y1103" s="215"/>
      <c r="Z1103" s="215"/>
      <c r="AA1103" s="215"/>
      <c r="AB1103" s="215"/>
      <c r="AC1103" s="215"/>
      <c r="AD1103" s="215"/>
      <c r="AE1103" s="215"/>
      <c r="AF1103" s="215"/>
      <c r="AG1103" s="215"/>
      <c r="AH1103" s="215"/>
    </row>
    <row r="1104" spans="15:34" ht="12">
      <c r="O1104" s="215"/>
      <c r="P1104" s="215"/>
      <c r="Q1104" s="215"/>
      <c r="R1104" s="215"/>
      <c r="S1104" s="215"/>
      <c r="T1104" s="215"/>
      <c r="U1104" s="215"/>
      <c r="V1104" s="215"/>
      <c r="W1104" s="215"/>
      <c r="X1104" s="215"/>
      <c r="Y1104" s="215"/>
      <c r="Z1104" s="215"/>
      <c r="AA1104" s="215"/>
      <c r="AB1104" s="215"/>
      <c r="AC1104" s="215"/>
      <c r="AD1104" s="215"/>
      <c r="AE1104" s="215"/>
      <c r="AF1104" s="215"/>
      <c r="AG1104" s="215"/>
      <c r="AH1104" s="215"/>
    </row>
    <row r="1105" spans="15:34" ht="12">
      <c r="O1105" s="215"/>
      <c r="P1105" s="215"/>
      <c r="Q1105" s="215"/>
      <c r="R1105" s="215"/>
      <c r="S1105" s="215"/>
      <c r="T1105" s="215"/>
      <c r="U1105" s="215"/>
      <c r="V1105" s="215"/>
      <c r="W1105" s="215"/>
      <c r="X1105" s="215"/>
      <c r="Y1105" s="215"/>
      <c r="Z1105" s="215"/>
      <c r="AA1105" s="215"/>
      <c r="AB1105" s="215"/>
      <c r="AC1105" s="215"/>
      <c r="AD1105" s="215"/>
      <c r="AE1105" s="215"/>
      <c r="AF1105" s="215"/>
      <c r="AG1105" s="215"/>
      <c r="AH1105" s="215"/>
    </row>
    <row r="1106" spans="15:34" ht="12">
      <c r="O1106" s="215"/>
      <c r="P1106" s="215"/>
      <c r="Q1106" s="215"/>
      <c r="R1106" s="215"/>
      <c r="S1106" s="215"/>
      <c r="T1106" s="215"/>
      <c r="U1106" s="215"/>
      <c r="V1106" s="215"/>
      <c r="W1106" s="215"/>
      <c r="X1106" s="215"/>
      <c r="Y1106" s="215"/>
      <c r="Z1106" s="215"/>
      <c r="AA1106" s="215"/>
      <c r="AB1106" s="215"/>
      <c r="AC1106" s="215"/>
      <c r="AD1106" s="215"/>
      <c r="AE1106" s="215"/>
      <c r="AF1106" s="215"/>
      <c r="AG1106" s="215"/>
      <c r="AH1106" s="215"/>
    </row>
    <row r="1107" spans="15:34" ht="12">
      <c r="O1107" s="215"/>
      <c r="P1107" s="215"/>
      <c r="Q1107" s="215"/>
      <c r="R1107" s="215"/>
      <c r="S1107" s="215"/>
      <c r="T1107" s="215"/>
      <c r="U1107" s="215"/>
      <c r="V1107" s="215"/>
      <c r="W1107" s="215"/>
      <c r="X1107" s="215"/>
      <c r="Y1107" s="215"/>
      <c r="Z1107" s="215"/>
      <c r="AA1107" s="215"/>
      <c r="AB1107" s="215"/>
      <c r="AC1107" s="215"/>
      <c r="AD1107" s="215"/>
      <c r="AE1107" s="215"/>
      <c r="AF1107" s="215"/>
      <c r="AG1107" s="215"/>
      <c r="AH1107" s="215"/>
    </row>
    <row r="1108" spans="15:34" ht="12">
      <c r="O1108" s="215"/>
      <c r="P1108" s="215"/>
      <c r="Q1108" s="215"/>
      <c r="R1108" s="215"/>
      <c r="S1108" s="215"/>
      <c r="T1108" s="215"/>
      <c r="U1108" s="215"/>
      <c r="V1108" s="215"/>
      <c r="W1108" s="215"/>
      <c r="X1108" s="215"/>
      <c r="Y1108" s="215"/>
      <c r="Z1108" s="215"/>
      <c r="AA1108" s="215"/>
      <c r="AB1108" s="215"/>
      <c r="AC1108" s="215"/>
      <c r="AD1108" s="215"/>
      <c r="AE1108" s="215"/>
      <c r="AF1108" s="215"/>
      <c r="AG1108" s="215"/>
      <c r="AH1108" s="215"/>
    </row>
    <row r="1109" spans="15:34" ht="12">
      <c r="O1109" s="215"/>
      <c r="P1109" s="215"/>
      <c r="Q1109" s="215"/>
      <c r="R1109" s="215"/>
      <c r="S1109" s="215"/>
      <c r="T1109" s="215"/>
      <c r="U1109" s="215"/>
      <c r="V1109" s="215"/>
      <c r="W1109" s="215"/>
      <c r="X1109" s="215"/>
      <c r="Y1109" s="215"/>
      <c r="Z1109" s="215"/>
      <c r="AA1109" s="215"/>
      <c r="AB1109" s="215"/>
      <c r="AC1109" s="215"/>
      <c r="AD1109" s="215"/>
      <c r="AE1109" s="215"/>
      <c r="AF1109" s="215"/>
      <c r="AG1109" s="215"/>
      <c r="AH1109" s="215"/>
    </row>
    <row r="1110" spans="15:34" ht="12">
      <c r="O1110" s="215"/>
      <c r="P1110" s="215"/>
      <c r="Q1110" s="215"/>
      <c r="R1110" s="215"/>
      <c r="S1110" s="215"/>
      <c r="T1110" s="215"/>
      <c r="U1110" s="215"/>
      <c r="V1110" s="215"/>
      <c r="W1110" s="215"/>
      <c r="X1110" s="215"/>
      <c r="Y1110" s="215"/>
      <c r="Z1110" s="215"/>
      <c r="AA1110" s="215"/>
      <c r="AB1110" s="215"/>
      <c r="AC1110" s="215"/>
      <c r="AD1110" s="215"/>
      <c r="AE1110" s="215"/>
      <c r="AF1110" s="215"/>
      <c r="AG1110" s="215"/>
      <c r="AH1110" s="215"/>
    </row>
    <row r="1111" spans="15:34" ht="12">
      <c r="O1111" s="215"/>
      <c r="P1111" s="215"/>
      <c r="Q1111" s="215"/>
      <c r="R1111" s="215"/>
      <c r="S1111" s="215"/>
      <c r="T1111" s="215"/>
      <c r="U1111" s="215"/>
      <c r="V1111" s="215"/>
      <c r="W1111" s="215"/>
      <c r="X1111" s="215"/>
      <c r="Y1111" s="215"/>
      <c r="Z1111" s="215"/>
      <c r="AA1111" s="215"/>
      <c r="AB1111" s="215"/>
      <c r="AC1111" s="215"/>
      <c r="AD1111" s="215"/>
      <c r="AE1111" s="215"/>
      <c r="AF1111" s="215"/>
      <c r="AG1111" s="215"/>
      <c r="AH1111" s="215"/>
    </row>
    <row r="1112" spans="15:34" ht="12">
      <c r="O1112" s="215"/>
      <c r="P1112" s="215"/>
      <c r="Q1112" s="215"/>
      <c r="R1112" s="215"/>
      <c r="S1112" s="215"/>
      <c r="T1112" s="215"/>
      <c r="U1112" s="215"/>
      <c r="V1112" s="215"/>
      <c r="W1112" s="215"/>
      <c r="X1112" s="215"/>
      <c r="Y1112" s="215"/>
      <c r="Z1112" s="215"/>
      <c r="AA1112" s="215"/>
      <c r="AB1112" s="215"/>
      <c r="AC1112" s="215"/>
      <c r="AD1112" s="215"/>
      <c r="AE1112" s="215"/>
      <c r="AF1112" s="215"/>
      <c r="AG1112" s="215"/>
      <c r="AH1112" s="215"/>
    </row>
    <row r="1113" spans="15:34" ht="12">
      <c r="O1113" s="215"/>
      <c r="P1113" s="215"/>
      <c r="Q1113" s="215"/>
      <c r="R1113" s="215"/>
      <c r="S1113" s="215"/>
      <c r="T1113" s="215"/>
      <c r="U1113" s="215"/>
      <c r="V1113" s="215"/>
      <c r="W1113" s="215"/>
      <c r="X1113" s="215"/>
      <c r="Y1113" s="215"/>
      <c r="Z1113" s="215"/>
      <c r="AA1113" s="215"/>
      <c r="AB1113" s="215"/>
      <c r="AC1113" s="215"/>
      <c r="AD1113" s="215"/>
      <c r="AE1113" s="215"/>
      <c r="AF1113" s="215"/>
      <c r="AG1113" s="215"/>
      <c r="AH1113" s="215"/>
    </row>
    <row r="1114" spans="15:34" ht="12">
      <c r="O1114" s="215"/>
      <c r="P1114" s="215"/>
      <c r="Q1114" s="215"/>
      <c r="R1114" s="215"/>
      <c r="S1114" s="215"/>
      <c r="T1114" s="215"/>
      <c r="U1114" s="215"/>
      <c r="V1114" s="215"/>
      <c r="W1114" s="215"/>
      <c r="X1114" s="215"/>
      <c r="Y1114" s="215"/>
      <c r="Z1114" s="215"/>
      <c r="AA1114" s="215"/>
      <c r="AB1114" s="215"/>
      <c r="AC1114" s="215"/>
      <c r="AD1114" s="215"/>
      <c r="AE1114" s="215"/>
      <c r="AF1114" s="215"/>
      <c r="AG1114" s="215"/>
      <c r="AH1114" s="215"/>
    </row>
    <row r="1115" spans="15:34" ht="12">
      <c r="O1115" s="215"/>
      <c r="P1115" s="215"/>
      <c r="Q1115" s="215"/>
      <c r="R1115" s="215"/>
      <c r="S1115" s="215"/>
      <c r="T1115" s="215"/>
      <c r="U1115" s="215"/>
      <c r="V1115" s="215"/>
      <c r="W1115" s="215"/>
      <c r="X1115" s="215"/>
      <c r="Y1115" s="215"/>
      <c r="Z1115" s="215"/>
      <c r="AA1115" s="215"/>
      <c r="AB1115" s="215"/>
      <c r="AC1115" s="215"/>
      <c r="AD1115" s="215"/>
      <c r="AE1115" s="215"/>
      <c r="AF1115" s="215"/>
      <c r="AG1115" s="215"/>
      <c r="AH1115" s="215"/>
    </row>
    <row r="1116" spans="15:34" ht="12">
      <c r="O1116" s="215"/>
      <c r="P1116" s="215"/>
      <c r="Q1116" s="215"/>
      <c r="R1116" s="215"/>
      <c r="S1116" s="215"/>
      <c r="T1116" s="215"/>
      <c r="U1116" s="215"/>
      <c r="V1116" s="215"/>
      <c r="W1116" s="215"/>
      <c r="X1116" s="215"/>
      <c r="Y1116" s="215"/>
      <c r="Z1116" s="215"/>
      <c r="AA1116" s="215"/>
      <c r="AB1116" s="215"/>
      <c r="AC1116" s="215"/>
      <c r="AD1116" s="215"/>
      <c r="AE1116" s="215"/>
      <c r="AF1116" s="215"/>
      <c r="AG1116" s="215"/>
      <c r="AH1116" s="215"/>
    </row>
    <row r="1117" spans="15:34" ht="12">
      <c r="O1117" s="215"/>
      <c r="P1117" s="215"/>
      <c r="Q1117" s="215"/>
      <c r="R1117" s="215"/>
      <c r="S1117" s="215"/>
      <c r="T1117" s="215"/>
      <c r="U1117" s="215"/>
      <c r="V1117" s="215"/>
      <c r="W1117" s="215"/>
      <c r="X1117" s="215"/>
      <c r="Y1117" s="215"/>
      <c r="Z1117" s="215"/>
      <c r="AA1117" s="215"/>
      <c r="AB1117" s="215"/>
      <c r="AC1117" s="215"/>
      <c r="AD1117" s="215"/>
      <c r="AE1117" s="215"/>
      <c r="AF1117" s="215"/>
      <c r="AG1117" s="215"/>
      <c r="AH1117" s="215"/>
    </row>
    <row r="1118" spans="15:34" ht="12">
      <c r="O1118" s="215"/>
      <c r="P1118" s="215"/>
      <c r="Q1118" s="215"/>
      <c r="R1118" s="215"/>
      <c r="S1118" s="215"/>
      <c r="T1118" s="215"/>
      <c r="U1118" s="215"/>
      <c r="V1118" s="215"/>
      <c r="W1118" s="215"/>
      <c r="X1118" s="215"/>
      <c r="Y1118" s="215"/>
      <c r="Z1118" s="215"/>
      <c r="AA1118" s="215"/>
      <c r="AB1118" s="215"/>
      <c r="AC1118" s="215"/>
      <c r="AD1118" s="215"/>
      <c r="AE1118" s="215"/>
      <c r="AF1118" s="215"/>
      <c r="AG1118" s="215"/>
      <c r="AH1118" s="215"/>
    </row>
    <row r="1119" spans="15:34" ht="12">
      <c r="O1119" s="215"/>
      <c r="P1119" s="215"/>
      <c r="Q1119" s="215"/>
      <c r="R1119" s="215"/>
      <c r="S1119" s="215"/>
      <c r="T1119" s="215"/>
      <c r="U1119" s="215"/>
      <c r="V1119" s="215"/>
      <c r="W1119" s="215"/>
      <c r="X1119" s="215"/>
      <c r="Y1119" s="215"/>
      <c r="Z1119" s="215"/>
      <c r="AA1119" s="215"/>
      <c r="AB1119" s="215"/>
      <c r="AC1119" s="215"/>
      <c r="AD1119" s="215"/>
      <c r="AE1119" s="215"/>
      <c r="AF1119" s="215"/>
      <c r="AG1119" s="215"/>
      <c r="AH1119" s="215"/>
    </row>
    <row r="1120" spans="15:34" ht="12">
      <c r="O1120" s="215"/>
      <c r="P1120" s="215"/>
      <c r="Q1120" s="215"/>
      <c r="R1120" s="215"/>
      <c r="S1120" s="215"/>
      <c r="T1120" s="215"/>
      <c r="U1120" s="215"/>
      <c r="V1120" s="215"/>
      <c r="W1120" s="215"/>
      <c r="X1120" s="215"/>
      <c r="Y1120" s="215"/>
      <c r="Z1120" s="215"/>
      <c r="AA1120" s="215"/>
      <c r="AB1120" s="215"/>
      <c r="AC1120" s="215"/>
      <c r="AD1120" s="215"/>
      <c r="AE1120" s="215"/>
      <c r="AF1120" s="215"/>
      <c r="AG1120" s="215"/>
      <c r="AH1120" s="215"/>
    </row>
    <row r="1121" spans="15:34" ht="12">
      <c r="O1121" s="215"/>
      <c r="P1121" s="215"/>
      <c r="Q1121" s="215"/>
      <c r="R1121" s="215"/>
      <c r="S1121" s="215"/>
      <c r="T1121" s="215"/>
      <c r="U1121" s="215"/>
      <c r="V1121" s="215"/>
      <c r="W1121" s="215"/>
      <c r="X1121" s="215"/>
      <c r="Y1121" s="215"/>
      <c r="Z1121" s="215"/>
      <c r="AA1121" s="215"/>
      <c r="AB1121" s="215"/>
      <c r="AC1121" s="215"/>
      <c r="AD1121" s="215"/>
      <c r="AE1121" s="215"/>
      <c r="AF1121" s="215"/>
      <c r="AG1121" s="215"/>
      <c r="AH1121" s="215"/>
    </row>
    <row r="1122" spans="15:34" ht="12">
      <c r="O1122" s="215"/>
      <c r="P1122" s="215"/>
      <c r="Q1122" s="215"/>
      <c r="R1122" s="215"/>
      <c r="S1122" s="215"/>
      <c r="T1122" s="215"/>
      <c r="U1122" s="215"/>
      <c r="V1122" s="215"/>
      <c r="W1122" s="215"/>
      <c r="X1122" s="215"/>
      <c r="Y1122" s="215"/>
      <c r="Z1122" s="215"/>
      <c r="AA1122" s="215"/>
      <c r="AB1122" s="215"/>
      <c r="AC1122" s="215"/>
      <c r="AD1122" s="215"/>
      <c r="AE1122" s="215"/>
      <c r="AF1122" s="215"/>
      <c r="AG1122" s="215"/>
      <c r="AH1122" s="215"/>
    </row>
    <row r="1123" spans="15:34" ht="12">
      <c r="O1123" s="215"/>
      <c r="P1123" s="215"/>
      <c r="Q1123" s="215"/>
      <c r="R1123" s="215"/>
      <c r="S1123" s="215"/>
      <c r="T1123" s="215"/>
      <c r="U1123" s="215"/>
      <c r="V1123" s="215"/>
      <c r="W1123" s="215"/>
      <c r="X1123" s="215"/>
      <c r="Y1123" s="215"/>
      <c r="Z1123" s="215"/>
      <c r="AA1123" s="215"/>
      <c r="AB1123" s="215"/>
      <c r="AC1123" s="215"/>
      <c r="AD1123" s="215"/>
      <c r="AE1123" s="215"/>
      <c r="AF1123" s="215"/>
      <c r="AG1123" s="215"/>
      <c r="AH1123" s="215"/>
    </row>
    <row r="1124" spans="15:34" ht="12">
      <c r="O1124" s="215"/>
      <c r="P1124" s="215"/>
      <c r="Q1124" s="215"/>
      <c r="R1124" s="215"/>
      <c r="S1124" s="215"/>
      <c r="T1124" s="215"/>
      <c r="U1124" s="215"/>
      <c r="V1124" s="215"/>
      <c r="W1124" s="215"/>
      <c r="X1124" s="215"/>
      <c r="Y1124" s="215"/>
      <c r="Z1124" s="215"/>
      <c r="AA1124" s="215"/>
      <c r="AB1124" s="215"/>
      <c r="AC1124" s="215"/>
      <c r="AD1124" s="215"/>
      <c r="AE1124" s="215"/>
      <c r="AF1124" s="215"/>
      <c r="AG1124" s="215"/>
      <c r="AH1124" s="215"/>
    </row>
    <row r="1125" spans="15:34" ht="12">
      <c r="O1125" s="215"/>
      <c r="P1125" s="215"/>
      <c r="Q1125" s="215"/>
      <c r="R1125" s="215"/>
      <c r="S1125" s="215"/>
      <c r="T1125" s="215"/>
      <c r="U1125" s="215"/>
      <c r="V1125" s="215"/>
      <c r="W1125" s="215"/>
      <c r="X1125" s="215"/>
      <c r="Y1125" s="215"/>
      <c r="Z1125" s="215"/>
      <c r="AA1125" s="215"/>
      <c r="AB1125" s="215"/>
      <c r="AC1125" s="215"/>
      <c r="AD1125" s="215"/>
      <c r="AE1125" s="215"/>
      <c r="AF1125" s="215"/>
      <c r="AG1125" s="215"/>
      <c r="AH1125" s="215"/>
    </row>
    <row r="1126" spans="15:34" ht="12">
      <c r="O1126" s="215"/>
      <c r="P1126" s="215"/>
      <c r="Q1126" s="215"/>
      <c r="R1126" s="215"/>
      <c r="S1126" s="215"/>
      <c r="T1126" s="215"/>
      <c r="U1126" s="215"/>
      <c r="V1126" s="215"/>
      <c r="W1126" s="215"/>
      <c r="X1126" s="215"/>
      <c r="Y1126" s="215"/>
      <c r="Z1126" s="215"/>
      <c r="AA1126" s="215"/>
      <c r="AB1126" s="215"/>
      <c r="AC1126" s="215"/>
      <c r="AD1126" s="215"/>
      <c r="AE1126" s="215"/>
      <c r="AF1126" s="215"/>
      <c r="AG1126" s="215"/>
      <c r="AH1126" s="215"/>
    </row>
    <row r="1127" spans="15:34" ht="12">
      <c r="O1127" s="215"/>
      <c r="P1127" s="215"/>
      <c r="Q1127" s="215"/>
      <c r="R1127" s="215"/>
      <c r="S1127" s="215"/>
      <c r="T1127" s="215"/>
      <c r="U1127" s="215"/>
      <c r="V1127" s="215"/>
      <c r="W1127" s="215"/>
      <c r="X1127" s="215"/>
      <c r="Y1127" s="215"/>
      <c r="Z1127" s="215"/>
      <c r="AA1127" s="215"/>
      <c r="AB1127" s="215"/>
      <c r="AC1127" s="215"/>
      <c r="AD1127" s="215"/>
      <c r="AE1127" s="215"/>
      <c r="AF1127" s="215"/>
      <c r="AG1127" s="215"/>
      <c r="AH1127" s="215"/>
    </row>
    <row r="1128" spans="15:34" ht="12">
      <c r="O1128" s="215"/>
      <c r="P1128" s="215"/>
      <c r="Q1128" s="215"/>
      <c r="R1128" s="215"/>
      <c r="S1128" s="215"/>
      <c r="T1128" s="215"/>
      <c r="U1128" s="215"/>
      <c r="V1128" s="215"/>
      <c r="W1128" s="215"/>
      <c r="X1128" s="215"/>
      <c r="Y1128" s="215"/>
      <c r="Z1128" s="215"/>
      <c r="AA1128" s="215"/>
      <c r="AB1128" s="215"/>
      <c r="AC1128" s="215"/>
      <c r="AD1128" s="215"/>
      <c r="AE1128" s="215"/>
      <c r="AF1128" s="215"/>
      <c r="AG1128" s="215"/>
      <c r="AH1128" s="215"/>
    </row>
    <row r="1129" spans="15:34" ht="12">
      <c r="O1129" s="215"/>
      <c r="P1129" s="215"/>
      <c r="Q1129" s="215"/>
      <c r="R1129" s="215"/>
      <c r="S1129" s="215"/>
      <c r="T1129" s="215"/>
      <c r="U1129" s="215"/>
      <c r="V1129" s="215"/>
      <c r="W1129" s="215"/>
      <c r="X1129" s="215"/>
      <c r="Y1129" s="215"/>
      <c r="Z1129" s="215"/>
      <c r="AA1129" s="215"/>
      <c r="AB1129" s="215"/>
      <c r="AC1129" s="215"/>
      <c r="AD1129" s="215"/>
      <c r="AE1129" s="215"/>
      <c r="AF1129" s="215"/>
      <c r="AG1129" s="215"/>
      <c r="AH1129" s="215"/>
    </row>
    <row r="1130" spans="15:34" ht="12">
      <c r="O1130" s="215"/>
      <c r="P1130" s="215"/>
      <c r="Q1130" s="215"/>
      <c r="R1130" s="215"/>
      <c r="S1130" s="215"/>
      <c r="T1130" s="215"/>
      <c r="U1130" s="215"/>
      <c r="V1130" s="215"/>
      <c r="W1130" s="215"/>
      <c r="X1130" s="215"/>
      <c r="Y1130" s="215"/>
      <c r="Z1130" s="215"/>
      <c r="AA1130" s="215"/>
      <c r="AB1130" s="215"/>
      <c r="AC1130" s="215"/>
      <c r="AD1130" s="215"/>
      <c r="AE1130" s="215"/>
      <c r="AF1130" s="215"/>
      <c r="AG1130" s="215"/>
      <c r="AH1130" s="215"/>
    </row>
    <row r="1131" spans="15:34" ht="12">
      <c r="O1131" s="215"/>
      <c r="P1131" s="215"/>
      <c r="Q1131" s="215"/>
      <c r="R1131" s="215"/>
      <c r="S1131" s="215"/>
      <c r="T1131" s="215"/>
      <c r="U1131" s="215"/>
      <c r="V1131" s="215"/>
      <c r="W1131" s="215"/>
      <c r="X1131" s="215"/>
      <c r="Y1131" s="215"/>
      <c r="Z1131" s="215"/>
      <c r="AA1131" s="215"/>
      <c r="AB1131" s="215"/>
      <c r="AC1131" s="215"/>
      <c r="AD1131" s="215"/>
      <c r="AE1131" s="215"/>
      <c r="AF1131" s="215"/>
      <c r="AG1131" s="215"/>
      <c r="AH1131" s="215"/>
    </row>
    <row r="1132" spans="15:34" ht="12">
      <c r="O1132" s="215"/>
      <c r="P1132" s="215"/>
      <c r="Q1132" s="215"/>
      <c r="R1132" s="215"/>
      <c r="S1132" s="215"/>
      <c r="T1132" s="215"/>
      <c r="U1132" s="215"/>
      <c r="V1132" s="215"/>
      <c r="W1132" s="215"/>
      <c r="X1132" s="215"/>
      <c r="Y1132" s="215"/>
      <c r="Z1132" s="215"/>
      <c r="AA1132" s="215"/>
      <c r="AB1132" s="215"/>
      <c r="AC1132" s="215"/>
      <c r="AD1132" s="215"/>
      <c r="AE1132" s="215"/>
      <c r="AF1132" s="215"/>
      <c r="AG1132" s="215"/>
      <c r="AH1132" s="215"/>
    </row>
    <row r="1133" spans="15:34" ht="12">
      <c r="O1133" s="215"/>
      <c r="P1133" s="215"/>
      <c r="Q1133" s="215"/>
      <c r="R1133" s="215"/>
      <c r="S1133" s="215"/>
      <c r="T1133" s="215"/>
      <c r="U1133" s="215"/>
      <c r="V1133" s="215"/>
      <c r="W1133" s="215"/>
      <c r="X1133" s="215"/>
      <c r="Y1133" s="215"/>
      <c r="Z1133" s="215"/>
      <c r="AA1133" s="215"/>
      <c r="AB1133" s="215"/>
      <c r="AC1133" s="215"/>
      <c r="AD1133" s="215"/>
      <c r="AE1133" s="215"/>
      <c r="AF1133" s="215"/>
      <c r="AG1133" s="215"/>
      <c r="AH1133" s="215"/>
    </row>
    <row r="1134" spans="15:34" ht="12">
      <c r="O1134" s="215"/>
      <c r="P1134" s="215"/>
      <c r="Q1134" s="215"/>
      <c r="R1134" s="215"/>
      <c r="S1134" s="215"/>
      <c r="T1134" s="215"/>
      <c r="U1134" s="215"/>
      <c r="V1134" s="215"/>
      <c r="W1134" s="215"/>
      <c r="X1134" s="215"/>
      <c r="Y1134" s="215"/>
      <c r="Z1134" s="215"/>
      <c r="AA1134" s="215"/>
      <c r="AB1134" s="215"/>
      <c r="AC1134" s="215"/>
      <c r="AD1134" s="215"/>
      <c r="AE1134" s="215"/>
      <c r="AF1134" s="215"/>
      <c r="AG1134" s="215"/>
      <c r="AH1134" s="215"/>
    </row>
    <row r="1135" spans="15:34" ht="12">
      <c r="O1135" s="215"/>
      <c r="P1135" s="215"/>
      <c r="Q1135" s="215"/>
      <c r="R1135" s="215"/>
      <c r="S1135" s="215"/>
      <c r="T1135" s="215"/>
      <c r="U1135" s="215"/>
      <c r="V1135" s="215"/>
      <c r="W1135" s="215"/>
      <c r="X1135" s="215"/>
      <c r="Y1135" s="215"/>
      <c r="Z1135" s="215"/>
      <c r="AA1135" s="215"/>
      <c r="AB1135" s="215"/>
      <c r="AC1135" s="215"/>
      <c r="AD1135" s="215"/>
      <c r="AE1135" s="215"/>
      <c r="AF1135" s="215"/>
      <c r="AG1135" s="215"/>
      <c r="AH1135" s="215"/>
    </row>
    <row r="1136" spans="15:34" ht="12">
      <c r="O1136" s="215"/>
      <c r="P1136" s="215"/>
      <c r="Q1136" s="215"/>
      <c r="R1136" s="215"/>
      <c r="S1136" s="215"/>
      <c r="T1136" s="215"/>
      <c r="U1136" s="215"/>
      <c r="V1136" s="215"/>
      <c r="W1136" s="215"/>
      <c r="X1136" s="215"/>
      <c r="Y1136" s="215"/>
      <c r="Z1136" s="215"/>
      <c r="AA1136" s="215"/>
      <c r="AB1136" s="215"/>
      <c r="AC1136" s="215"/>
      <c r="AD1136" s="215"/>
      <c r="AE1136" s="215"/>
      <c r="AF1136" s="215"/>
      <c r="AG1136" s="215"/>
      <c r="AH1136" s="215"/>
    </row>
    <row r="1137" spans="15:34" ht="12">
      <c r="O1137" s="215"/>
      <c r="P1137" s="215"/>
      <c r="Q1137" s="215"/>
      <c r="R1137" s="215"/>
      <c r="S1137" s="215"/>
      <c r="T1137" s="215"/>
      <c r="U1137" s="215"/>
      <c r="V1137" s="215"/>
      <c r="W1137" s="215"/>
      <c r="X1137" s="215"/>
      <c r="Y1137" s="215"/>
      <c r="Z1137" s="215"/>
      <c r="AA1137" s="215"/>
      <c r="AB1137" s="215"/>
      <c r="AC1137" s="215"/>
      <c r="AD1137" s="215"/>
      <c r="AE1137" s="215"/>
      <c r="AF1137" s="215"/>
      <c r="AG1137" s="215"/>
      <c r="AH1137" s="215"/>
    </row>
    <row r="1138" spans="15:34" ht="12">
      <c r="O1138" s="215"/>
      <c r="P1138" s="215"/>
      <c r="Q1138" s="215"/>
      <c r="R1138" s="215"/>
      <c r="S1138" s="215"/>
      <c r="T1138" s="215"/>
      <c r="U1138" s="215"/>
      <c r="V1138" s="215"/>
      <c r="W1138" s="215"/>
      <c r="X1138" s="215"/>
      <c r="Y1138" s="215"/>
      <c r="Z1138" s="215"/>
      <c r="AA1138" s="215"/>
      <c r="AB1138" s="215"/>
      <c r="AC1138" s="215"/>
      <c r="AD1138" s="215"/>
      <c r="AE1138" s="215"/>
      <c r="AF1138" s="215"/>
      <c r="AG1138" s="215"/>
      <c r="AH1138" s="215"/>
    </row>
    <row r="1139" spans="15:34" ht="12">
      <c r="O1139" s="215"/>
      <c r="P1139" s="215"/>
      <c r="Q1139" s="215"/>
      <c r="R1139" s="215"/>
      <c r="S1139" s="215"/>
      <c r="T1139" s="215"/>
      <c r="U1139" s="215"/>
      <c r="V1139" s="215"/>
      <c r="W1139" s="215"/>
      <c r="X1139" s="215"/>
      <c r="Y1139" s="215"/>
      <c r="Z1139" s="215"/>
      <c r="AA1139" s="215"/>
      <c r="AB1139" s="215"/>
      <c r="AC1139" s="215"/>
      <c r="AD1139" s="215"/>
      <c r="AE1139" s="215"/>
      <c r="AF1139" s="215"/>
      <c r="AG1139" s="215"/>
      <c r="AH1139" s="215"/>
    </row>
    <row r="1140" spans="15:34" ht="12">
      <c r="O1140" s="215"/>
      <c r="P1140" s="215"/>
      <c r="Q1140" s="215"/>
      <c r="R1140" s="215"/>
      <c r="S1140" s="215"/>
      <c r="T1140" s="215"/>
      <c r="U1140" s="215"/>
      <c r="V1140" s="215"/>
      <c r="W1140" s="215"/>
      <c r="X1140" s="215"/>
      <c r="Y1140" s="215"/>
      <c r="Z1140" s="215"/>
      <c r="AA1140" s="215"/>
      <c r="AB1140" s="215"/>
      <c r="AC1140" s="215"/>
      <c r="AD1140" s="215"/>
      <c r="AE1140" s="215"/>
      <c r="AF1140" s="215"/>
      <c r="AG1140" s="215"/>
      <c r="AH1140" s="215"/>
    </row>
    <row r="1141" spans="15:34" ht="12">
      <c r="O1141" s="215"/>
      <c r="P1141" s="215"/>
      <c r="Q1141" s="215"/>
      <c r="R1141" s="215"/>
      <c r="S1141" s="215"/>
      <c r="T1141" s="215"/>
      <c r="U1141" s="215"/>
      <c r="V1141" s="215"/>
      <c r="W1141" s="215"/>
      <c r="X1141" s="215"/>
      <c r="Y1141" s="215"/>
      <c r="Z1141" s="215"/>
      <c r="AA1141" s="215"/>
      <c r="AB1141" s="215"/>
      <c r="AC1141" s="215"/>
      <c r="AD1141" s="215"/>
      <c r="AE1141" s="215"/>
      <c r="AF1141" s="215"/>
      <c r="AG1141" s="215"/>
      <c r="AH1141" s="215"/>
    </row>
    <row r="1142" spans="15:34" ht="12">
      <c r="O1142" s="215"/>
      <c r="P1142" s="215"/>
      <c r="Q1142" s="215"/>
      <c r="R1142" s="215"/>
      <c r="S1142" s="215"/>
      <c r="T1142" s="215"/>
      <c r="U1142" s="215"/>
      <c r="V1142" s="215"/>
      <c r="W1142" s="215"/>
      <c r="X1142" s="215"/>
      <c r="Y1142" s="215"/>
      <c r="Z1142" s="215"/>
      <c r="AA1142" s="215"/>
      <c r="AB1142" s="215"/>
      <c r="AC1142" s="215"/>
      <c r="AD1142" s="215"/>
      <c r="AE1142" s="215"/>
      <c r="AF1142" s="215"/>
      <c r="AG1142" s="215"/>
      <c r="AH1142" s="215"/>
    </row>
    <row r="1143" spans="15:34" ht="12">
      <c r="O1143" s="215"/>
      <c r="P1143" s="215"/>
      <c r="Q1143" s="215"/>
      <c r="R1143" s="215"/>
      <c r="S1143" s="215"/>
      <c r="T1143" s="215"/>
      <c r="U1143" s="215"/>
      <c r="V1143" s="215"/>
      <c r="W1143" s="215"/>
      <c r="X1143" s="215"/>
      <c r="Y1143" s="215"/>
      <c r="Z1143" s="215"/>
      <c r="AA1143" s="215"/>
      <c r="AB1143" s="215"/>
      <c r="AC1143" s="215"/>
      <c r="AD1143" s="215"/>
      <c r="AE1143" s="215"/>
      <c r="AF1143" s="215"/>
      <c r="AG1143" s="215"/>
      <c r="AH1143" s="215"/>
    </row>
    <row r="1144" spans="15:34" ht="12">
      <c r="O1144" s="215"/>
      <c r="P1144" s="215"/>
      <c r="Q1144" s="215"/>
      <c r="R1144" s="215"/>
      <c r="S1144" s="215"/>
      <c r="T1144" s="215"/>
      <c r="U1144" s="215"/>
      <c r="V1144" s="215"/>
      <c r="W1144" s="215"/>
      <c r="X1144" s="215"/>
      <c r="Y1144" s="215"/>
      <c r="Z1144" s="215"/>
      <c r="AA1144" s="215"/>
      <c r="AB1144" s="215"/>
      <c r="AC1144" s="215"/>
      <c r="AD1144" s="215"/>
      <c r="AE1144" s="215"/>
      <c r="AF1144" s="215"/>
      <c r="AG1144" s="215"/>
      <c r="AH1144" s="215"/>
    </row>
    <row r="1145" spans="15:34" ht="12">
      <c r="O1145" s="215"/>
      <c r="P1145" s="215"/>
      <c r="Q1145" s="215"/>
      <c r="R1145" s="215"/>
      <c r="S1145" s="215"/>
      <c r="T1145" s="215"/>
      <c r="U1145" s="215"/>
      <c r="V1145" s="215"/>
      <c r="W1145" s="215"/>
      <c r="X1145" s="215"/>
      <c r="Y1145" s="215"/>
      <c r="Z1145" s="215"/>
      <c r="AA1145" s="215"/>
      <c r="AB1145" s="215"/>
      <c r="AC1145" s="215"/>
      <c r="AD1145" s="215"/>
      <c r="AE1145" s="215"/>
      <c r="AF1145" s="215"/>
      <c r="AG1145" s="215"/>
      <c r="AH1145" s="215"/>
    </row>
    <row r="1146" spans="15:34" ht="12">
      <c r="O1146" s="215"/>
      <c r="P1146" s="215"/>
      <c r="Q1146" s="215"/>
      <c r="R1146" s="215"/>
      <c r="S1146" s="215"/>
      <c r="T1146" s="215"/>
      <c r="U1146" s="215"/>
      <c r="V1146" s="215"/>
      <c r="W1146" s="215"/>
      <c r="X1146" s="215"/>
      <c r="Y1146" s="215"/>
      <c r="Z1146" s="215"/>
      <c r="AA1146" s="215"/>
      <c r="AB1146" s="215"/>
      <c r="AC1146" s="215"/>
      <c r="AD1146" s="215"/>
      <c r="AE1146" s="215"/>
      <c r="AF1146" s="215"/>
      <c r="AG1146" s="215"/>
      <c r="AH1146" s="215"/>
    </row>
    <row r="1147" spans="15:34" ht="12">
      <c r="O1147" s="215"/>
      <c r="P1147" s="215"/>
      <c r="Q1147" s="215"/>
      <c r="R1147" s="215"/>
      <c r="S1147" s="215"/>
      <c r="T1147" s="215"/>
      <c r="U1147" s="215"/>
      <c r="V1147" s="215"/>
      <c r="W1147" s="215"/>
      <c r="X1147" s="215"/>
      <c r="Y1147" s="215"/>
      <c r="Z1147" s="215"/>
      <c r="AA1147" s="215"/>
      <c r="AB1147" s="215"/>
      <c r="AC1147" s="215"/>
      <c r="AD1147" s="215"/>
      <c r="AE1147" s="215"/>
      <c r="AF1147" s="215"/>
      <c r="AG1147" s="215"/>
      <c r="AH1147" s="215"/>
    </row>
    <row r="1148" spans="15:34" ht="12">
      <c r="O1148" s="215"/>
      <c r="P1148" s="215"/>
      <c r="Q1148" s="215"/>
      <c r="R1148" s="215"/>
      <c r="S1148" s="215"/>
      <c r="T1148" s="215"/>
      <c r="U1148" s="215"/>
      <c r="V1148" s="215"/>
      <c r="W1148" s="215"/>
      <c r="X1148" s="215"/>
      <c r="Y1148" s="215"/>
      <c r="Z1148" s="215"/>
      <c r="AA1148" s="215"/>
      <c r="AB1148" s="215"/>
      <c r="AC1148" s="215"/>
      <c r="AD1148" s="215"/>
      <c r="AE1148" s="215"/>
      <c r="AF1148" s="215"/>
      <c r="AG1148" s="215"/>
      <c r="AH1148" s="215"/>
    </row>
    <row r="1149" spans="15:34" ht="12">
      <c r="O1149" s="215"/>
      <c r="P1149" s="215"/>
      <c r="Q1149" s="215"/>
      <c r="R1149" s="215"/>
      <c r="S1149" s="215"/>
      <c r="T1149" s="215"/>
      <c r="U1149" s="215"/>
      <c r="V1149" s="215"/>
      <c r="W1149" s="215"/>
      <c r="X1149" s="215"/>
      <c r="Y1149" s="215"/>
      <c r="Z1149" s="215"/>
      <c r="AA1149" s="215"/>
      <c r="AB1149" s="215"/>
      <c r="AC1149" s="215"/>
      <c r="AD1149" s="215"/>
      <c r="AE1149" s="215"/>
      <c r="AF1149" s="215"/>
      <c r="AG1149" s="215"/>
      <c r="AH1149" s="215"/>
    </row>
    <row r="1150" spans="15:34" ht="12">
      <c r="O1150" s="215"/>
      <c r="P1150" s="215"/>
      <c r="Q1150" s="215"/>
      <c r="R1150" s="215"/>
      <c r="S1150" s="215"/>
      <c r="T1150" s="215"/>
      <c r="U1150" s="215"/>
      <c r="V1150" s="215"/>
      <c r="W1150" s="215"/>
      <c r="X1150" s="215"/>
      <c r="Y1150" s="215"/>
      <c r="Z1150" s="215"/>
      <c r="AA1150" s="215"/>
      <c r="AB1150" s="215"/>
      <c r="AC1150" s="215"/>
      <c r="AD1150" s="215"/>
      <c r="AE1150" s="215"/>
      <c r="AF1150" s="215"/>
      <c r="AG1150" s="215"/>
      <c r="AH1150" s="215"/>
    </row>
    <row r="1151" spans="15:34" ht="12">
      <c r="O1151" s="215"/>
      <c r="P1151" s="215"/>
      <c r="Q1151" s="215"/>
      <c r="R1151" s="215"/>
      <c r="S1151" s="215"/>
      <c r="T1151" s="215"/>
      <c r="U1151" s="215"/>
      <c r="V1151" s="215"/>
      <c r="W1151" s="215"/>
      <c r="X1151" s="215"/>
      <c r="Y1151" s="215"/>
      <c r="Z1151" s="215"/>
      <c r="AA1151" s="215"/>
      <c r="AB1151" s="215"/>
      <c r="AC1151" s="215"/>
      <c r="AD1151" s="215"/>
      <c r="AE1151" s="215"/>
      <c r="AF1151" s="215"/>
      <c r="AG1151" s="215"/>
      <c r="AH1151" s="215"/>
    </row>
    <row r="1152" spans="15:34" ht="12">
      <c r="O1152" s="215"/>
      <c r="P1152" s="215"/>
      <c r="Q1152" s="215"/>
      <c r="R1152" s="215"/>
      <c r="S1152" s="215"/>
      <c r="T1152" s="215"/>
      <c r="U1152" s="215"/>
      <c r="V1152" s="215"/>
      <c r="W1152" s="215"/>
      <c r="X1152" s="215"/>
      <c r="Y1152" s="215"/>
      <c r="Z1152" s="215"/>
      <c r="AA1152" s="215"/>
      <c r="AB1152" s="215"/>
      <c r="AC1152" s="215"/>
      <c r="AD1152" s="215"/>
      <c r="AE1152" s="215"/>
      <c r="AF1152" s="215"/>
      <c r="AG1152" s="215"/>
      <c r="AH1152" s="215"/>
    </row>
    <row r="1153" spans="15:34" ht="12">
      <c r="O1153" s="215"/>
      <c r="P1153" s="215"/>
      <c r="Q1153" s="215"/>
      <c r="R1153" s="215"/>
      <c r="S1153" s="215"/>
      <c r="T1153" s="215"/>
      <c r="U1153" s="215"/>
      <c r="V1153" s="215"/>
      <c r="W1153" s="215"/>
      <c r="X1153" s="215"/>
      <c r="Y1153" s="215"/>
      <c r="Z1153" s="215"/>
      <c r="AA1153" s="215"/>
      <c r="AB1153" s="215"/>
      <c r="AC1153" s="215"/>
      <c r="AD1153" s="215"/>
      <c r="AE1153" s="215"/>
      <c r="AF1153" s="215"/>
      <c r="AG1153" s="215"/>
      <c r="AH1153" s="215"/>
    </row>
    <row r="1154" spans="15:34" ht="12">
      <c r="O1154" s="215"/>
      <c r="P1154" s="215"/>
      <c r="Q1154" s="215"/>
      <c r="R1154" s="215"/>
      <c r="S1154" s="215"/>
      <c r="T1154" s="215"/>
      <c r="U1154" s="215"/>
      <c r="V1154" s="215"/>
      <c r="W1154" s="215"/>
      <c r="X1154" s="215"/>
      <c r="Y1154" s="215"/>
      <c r="Z1154" s="215"/>
      <c r="AA1154" s="215"/>
      <c r="AB1154" s="215"/>
      <c r="AC1154" s="215"/>
      <c r="AD1154" s="215"/>
      <c r="AE1154" s="215"/>
      <c r="AF1154" s="215"/>
      <c r="AG1154" s="215"/>
      <c r="AH1154" s="215"/>
    </row>
    <row r="1155" spans="15:34" ht="12">
      <c r="O1155" s="215"/>
      <c r="P1155" s="215"/>
      <c r="Q1155" s="215"/>
      <c r="R1155" s="215"/>
      <c r="S1155" s="215"/>
      <c r="T1155" s="215"/>
      <c r="U1155" s="215"/>
      <c r="V1155" s="215"/>
      <c r="W1155" s="215"/>
      <c r="X1155" s="215"/>
      <c r="Y1155" s="215"/>
      <c r="Z1155" s="215"/>
      <c r="AA1155" s="215"/>
      <c r="AB1155" s="215"/>
      <c r="AC1155" s="215"/>
      <c r="AD1155" s="215"/>
      <c r="AE1155" s="215"/>
      <c r="AF1155" s="215"/>
      <c r="AG1155" s="215"/>
      <c r="AH1155" s="215"/>
    </row>
    <row r="1156" spans="15:34" ht="12">
      <c r="O1156" s="215"/>
      <c r="P1156" s="215"/>
      <c r="Q1156" s="215"/>
      <c r="R1156" s="215"/>
      <c r="S1156" s="215"/>
      <c r="T1156" s="215"/>
      <c r="U1156" s="215"/>
      <c r="V1156" s="215"/>
      <c r="W1156" s="215"/>
      <c r="X1156" s="215"/>
      <c r="Y1156" s="215"/>
      <c r="Z1156" s="215"/>
      <c r="AA1156" s="215"/>
      <c r="AB1156" s="215"/>
      <c r="AC1156" s="215"/>
      <c r="AD1156" s="215"/>
      <c r="AE1156" s="215"/>
      <c r="AF1156" s="215"/>
      <c r="AG1156" s="215"/>
      <c r="AH1156" s="215"/>
    </row>
    <row r="1157" spans="15:34" ht="12">
      <c r="O1157" s="215"/>
      <c r="P1157" s="215"/>
      <c r="Q1157" s="215"/>
      <c r="R1157" s="215"/>
      <c r="S1157" s="215"/>
      <c r="T1157" s="215"/>
      <c r="U1157" s="215"/>
      <c r="V1157" s="215"/>
      <c r="W1157" s="215"/>
      <c r="X1157" s="215"/>
      <c r="Y1157" s="215"/>
      <c r="Z1157" s="215"/>
      <c r="AA1157" s="215"/>
      <c r="AB1157" s="215"/>
      <c r="AC1157" s="215"/>
      <c r="AD1157" s="215"/>
      <c r="AE1157" s="215"/>
      <c r="AF1157" s="215"/>
      <c r="AG1157" s="215"/>
      <c r="AH1157" s="215"/>
    </row>
    <row r="1158" spans="15:34" ht="12">
      <c r="O1158" s="215"/>
      <c r="P1158" s="215"/>
      <c r="Q1158" s="215"/>
      <c r="R1158" s="215"/>
      <c r="S1158" s="215"/>
      <c r="T1158" s="215"/>
      <c r="U1158" s="215"/>
      <c r="V1158" s="215"/>
      <c r="W1158" s="215"/>
      <c r="X1158" s="215"/>
      <c r="Y1158" s="215"/>
      <c r="Z1158" s="215"/>
      <c r="AA1158" s="215"/>
      <c r="AB1158" s="215"/>
      <c r="AC1158" s="215"/>
      <c r="AD1158" s="215"/>
      <c r="AE1158" s="215"/>
      <c r="AF1158" s="215"/>
      <c r="AG1158" s="215"/>
      <c r="AH1158" s="215"/>
    </row>
    <row r="1159" spans="15:34" ht="12">
      <c r="O1159" s="215"/>
      <c r="P1159" s="215"/>
      <c r="Q1159" s="215"/>
      <c r="R1159" s="215"/>
      <c r="S1159" s="215"/>
      <c r="T1159" s="215"/>
      <c r="U1159" s="215"/>
      <c r="V1159" s="215"/>
      <c r="W1159" s="215"/>
      <c r="X1159" s="215"/>
      <c r="Y1159" s="215"/>
      <c r="Z1159" s="215"/>
      <c r="AA1159" s="215"/>
      <c r="AB1159" s="215"/>
      <c r="AC1159" s="215"/>
      <c r="AD1159" s="215"/>
      <c r="AE1159" s="215"/>
      <c r="AF1159" s="215"/>
      <c r="AG1159" s="215"/>
      <c r="AH1159" s="215"/>
    </row>
    <row r="1160" spans="15:34" ht="12">
      <c r="O1160" s="215"/>
      <c r="P1160" s="215"/>
      <c r="Q1160" s="215"/>
      <c r="R1160" s="215"/>
      <c r="S1160" s="215"/>
      <c r="T1160" s="215"/>
      <c r="U1160" s="215"/>
      <c r="V1160" s="215"/>
      <c r="W1160" s="215"/>
      <c r="X1160" s="215"/>
      <c r="Y1160" s="215"/>
      <c r="Z1160" s="215"/>
      <c r="AA1160" s="215"/>
      <c r="AB1160" s="215"/>
      <c r="AC1160" s="215"/>
      <c r="AD1160" s="215"/>
      <c r="AE1160" s="215"/>
      <c r="AF1160" s="215"/>
      <c r="AG1160" s="215"/>
      <c r="AH1160" s="215"/>
    </row>
    <row r="1161" spans="15:34" ht="12">
      <c r="O1161" s="215"/>
      <c r="P1161" s="215"/>
      <c r="Q1161" s="215"/>
      <c r="R1161" s="215"/>
      <c r="S1161" s="215"/>
      <c r="T1161" s="215"/>
      <c r="U1161" s="215"/>
      <c r="V1161" s="215"/>
      <c r="W1161" s="215"/>
      <c r="X1161" s="215"/>
      <c r="Y1161" s="215"/>
      <c r="Z1161" s="215"/>
      <c r="AA1161" s="215"/>
      <c r="AB1161" s="215"/>
      <c r="AC1161" s="215"/>
      <c r="AD1161" s="215"/>
      <c r="AE1161" s="215"/>
      <c r="AF1161" s="215"/>
      <c r="AG1161" s="215"/>
      <c r="AH1161" s="215"/>
    </row>
    <row r="1162" spans="15:34" ht="12">
      <c r="O1162" s="215"/>
      <c r="P1162" s="215"/>
      <c r="Q1162" s="215"/>
      <c r="R1162" s="215"/>
      <c r="S1162" s="215"/>
      <c r="T1162" s="215"/>
      <c r="U1162" s="215"/>
      <c r="V1162" s="215"/>
      <c r="W1162" s="215"/>
      <c r="X1162" s="215"/>
      <c r="Y1162" s="215"/>
      <c r="Z1162" s="215"/>
      <c r="AA1162" s="215"/>
      <c r="AB1162" s="215"/>
      <c r="AC1162" s="215"/>
      <c r="AD1162" s="215"/>
      <c r="AE1162" s="215"/>
      <c r="AF1162" s="215"/>
      <c r="AG1162" s="215"/>
      <c r="AH1162" s="215"/>
    </row>
    <row r="1163" spans="15:34" ht="12">
      <c r="O1163" s="215"/>
      <c r="P1163" s="215"/>
      <c r="Q1163" s="215"/>
      <c r="R1163" s="215"/>
      <c r="S1163" s="215"/>
      <c r="T1163" s="215"/>
      <c r="U1163" s="215"/>
      <c r="V1163" s="215"/>
      <c r="W1163" s="215"/>
      <c r="X1163" s="215"/>
      <c r="Y1163" s="215"/>
      <c r="Z1163" s="215"/>
      <c r="AA1163" s="215"/>
      <c r="AB1163" s="215"/>
      <c r="AC1163" s="215"/>
      <c r="AD1163" s="215"/>
      <c r="AE1163" s="215"/>
      <c r="AF1163" s="215"/>
      <c r="AG1163" s="215"/>
      <c r="AH1163" s="215"/>
    </row>
    <row r="1164" spans="15:34" ht="12">
      <c r="O1164" s="215"/>
      <c r="P1164" s="215"/>
      <c r="Q1164" s="215"/>
      <c r="R1164" s="215"/>
      <c r="S1164" s="215"/>
      <c r="T1164" s="215"/>
      <c r="U1164" s="215"/>
      <c r="V1164" s="215"/>
      <c r="W1164" s="215"/>
      <c r="X1164" s="215"/>
      <c r="Y1164" s="215"/>
      <c r="Z1164" s="215"/>
      <c r="AA1164" s="215"/>
      <c r="AB1164" s="215"/>
      <c r="AC1164" s="215"/>
      <c r="AD1164" s="215"/>
      <c r="AE1164" s="215"/>
      <c r="AF1164" s="215"/>
      <c r="AG1164" s="215"/>
      <c r="AH1164" s="215"/>
    </row>
    <row r="1165" spans="15:34" ht="12">
      <c r="O1165" s="215"/>
      <c r="P1165" s="215"/>
      <c r="Q1165" s="215"/>
      <c r="R1165" s="215"/>
      <c r="S1165" s="215"/>
      <c r="T1165" s="215"/>
      <c r="U1165" s="215"/>
      <c r="V1165" s="215"/>
      <c r="W1165" s="215"/>
      <c r="X1165" s="215"/>
      <c r="Y1165" s="215"/>
      <c r="Z1165" s="215"/>
      <c r="AA1165" s="215"/>
      <c r="AB1165" s="215"/>
      <c r="AC1165" s="215"/>
      <c r="AD1165" s="215"/>
      <c r="AE1165" s="215"/>
      <c r="AF1165" s="215"/>
      <c r="AG1165" s="215"/>
      <c r="AH1165" s="215"/>
    </row>
    <row r="1166" spans="15:34" ht="12">
      <c r="O1166" s="215"/>
      <c r="P1166" s="215"/>
      <c r="Q1166" s="215"/>
      <c r="R1166" s="215"/>
      <c r="S1166" s="215"/>
      <c r="T1166" s="215"/>
      <c r="U1166" s="215"/>
      <c r="V1166" s="215"/>
      <c r="W1166" s="215"/>
      <c r="X1166" s="215"/>
      <c r="Y1166" s="215"/>
      <c r="Z1166" s="215"/>
      <c r="AA1166" s="215"/>
      <c r="AB1166" s="215"/>
      <c r="AC1166" s="215"/>
      <c r="AD1166" s="215"/>
      <c r="AE1166" s="215"/>
      <c r="AF1166" s="215"/>
      <c r="AG1166" s="215"/>
      <c r="AH1166" s="215"/>
    </row>
    <row r="1167" spans="15:34" ht="12">
      <c r="O1167" s="215"/>
      <c r="P1167" s="215"/>
      <c r="Q1167" s="215"/>
      <c r="R1167" s="215"/>
      <c r="S1167" s="215"/>
      <c r="T1167" s="215"/>
      <c r="U1167" s="215"/>
      <c r="V1167" s="215"/>
      <c r="W1167" s="215"/>
      <c r="X1167" s="215"/>
      <c r="Y1167" s="215"/>
      <c r="Z1167" s="215"/>
      <c r="AA1167" s="215"/>
      <c r="AB1167" s="215"/>
      <c r="AC1167" s="215"/>
      <c r="AD1167" s="215"/>
      <c r="AE1167" s="215"/>
      <c r="AF1167" s="215"/>
      <c r="AG1167" s="215"/>
      <c r="AH1167" s="215"/>
    </row>
    <row r="1168" spans="15:34" ht="12">
      <c r="O1168" s="215"/>
      <c r="P1168" s="215"/>
      <c r="Q1168" s="215"/>
      <c r="R1168" s="215"/>
      <c r="S1168" s="215"/>
      <c r="T1168" s="215"/>
      <c r="U1168" s="215"/>
      <c r="V1168" s="215"/>
      <c r="W1168" s="215"/>
      <c r="X1168" s="215"/>
      <c r="Y1168" s="215"/>
      <c r="Z1168" s="215"/>
      <c r="AA1168" s="215"/>
      <c r="AB1168" s="215"/>
      <c r="AC1168" s="215"/>
      <c r="AD1168" s="215"/>
      <c r="AE1168" s="215"/>
      <c r="AF1168" s="215"/>
      <c r="AG1168" s="215"/>
      <c r="AH1168" s="215"/>
    </row>
    <row r="1169" spans="15:34" ht="12">
      <c r="O1169" s="215"/>
      <c r="P1169" s="215"/>
      <c r="Q1169" s="215"/>
      <c r="R1169" s="215"/>
      <c r="S1169" s="215"/>
      <c r="T1169" s="215"/>
      <c r="U1169" s="215"/>
      <c r="V1169" s="215"/>
      <c r="W1169" s="215"/>
      <c r="X1169" s="215"/>
      <c r="Y1169" s="215"/>
      <c r="Z1169" s="215"/>
      <c r="AA1169" s="215"/>
      <c r="AB1169" s="215"/>
      <c r="AC1169" s="215"/>
      <c r="AD1169" s="215"/>
      <c r="AE1169" s="215"/>
      <c r="AF1169" s="215"/>
      <c r="AG1169" s="215"/>
      <c r="AH1169" s="215"/>
    </row>
    <row r="1170" spans="15:34" ht="12">
      <c r="O1170" s="215"/>
      <c r="P1170" s="215"/>
      <c r="Q1170" s="215"/>
      <c r="R1170" s="215"/>
      <c r="S1170" s="215"/>
      <c r="T1170" s="215"/>
      <c r="U1170" s="215"/>
      <c r="V1170" s="215"/>
      <c r="W1170" s="215"/>
      <c r="X1170" s="215"/>
      <c r="Y1170" s="215"/>
      <c r="Z1170" s="215"/>
      <c r="AA1170" s="215"/>
      <c r="AB1170" s="215"/>
      <c r="AC1170" s="215"/>
      <c r="AD1170" s="215"/>
      <c r="AE1170" s="215"/>
      <c r="AF1170" s="215"/>
      <c r="AG1170" s="215"/>
      <c r="AH1170" s="215"/>
    </row>
    <row r="1171" spans="15:34" ht="12">
      <c r="O1171" s="215"/>
      <c r="P1171" s="215"/>
      <c r="Q1171" s="215"/>
      <c r="R1171" s="215"/>
      <c r="S1171" s="215"/>
      <c r="T1171" s="215"/>
      <c r="U1171" s="215"/>
      <c r="V1171" s="215"/>
      <c r="W1171" s="215"/>
      <c r="X1171" s="215"/>
      <c r="Y1171" s="215"/>
      <c r="Z1171" s="215"/>
      <c r="AA1171" s="215"/>
      <c r="AB1171" s="215"/>
      <c r="AC1171" s="215"/>
      <c r="AD1171" s="215"/>
      <c r="AE1171" s="215"/>
      <c r="AF1171" s="215"/>
      <c r="AG1171" s="215"/>
      <c r="AH1171" s="215"/>
    </row>
    <row r="1172" spans="15:34" ht="12">
      <c r="O1172" s="215"/>
      <c r="P1172" s="215"/>
      <c r="Q1172" s="215"/>
      <c r="R1172" s="215"/>
      <c r="S1172" s="215"/>
      <c r="T1172" s="215"/>
      <c r="U1172" s="215"/>
      <c r="V1172" s="215"/>
      <c r="W1172" s="215"/>
      <c r="X1172" s="215"/>
      <c r="Y1172" s="215"/>
      <c r="Z1172" s="215"/>
      <c r="AA1172" s="215"/>
      <c r="AB1172" s="215"/>
      <c r="AC1172" s="215"/>
      <c r="AD1172" s="215"/>
      <c r="AE1172" s="215"/>
      <c r="AF1172" s="215"/>
      <c r="AG1172" s="215"/>
      <c r="AH1172" s="215"/>
    </row>
    <row r="1173" spans="15:34" ht="12">
      <c r="O1173" s="215"/>
      <c r="P1173" s="215"/>
      <c r="Q1173" s="215"/>
      <c r="R1173" s="215"/>
      <c r="S1173" s="215"/>
      <c r="T1173" s="215"/>
      <c r="U1173" s="215"/>
      <c r="V1173" s="215"/>
      <c r="W1173" s="215"/>
      <c r="X1173" s="215"/>
      <c r="Y1173" s="215"/>
      <c r="Z1173" s="215"/>
      <c r="AA1173" s="215"/>
      <c r="AB1173" s="215"/>
      <c r="AC1173" s="215"/>
      <c r="AD1173" s="215"/>
      <c r="AE1173" s="215"/>
      <c r="AF1173" s="215"/>
      <c r="AG1173" s="215"/>
      <c r="AH1173" s="215"/>
    </row>
    <row r="1174" spans="15:34" ht="12">
      <c r="O1174" s="215"/>
      <c r="P1174" s="215"/>
      <c r="Q1174" s="215"/>
      <c r="R1174" s="215"/>
      <c r="S1174" s="215"/>
      <c r="T1174" s="215"/>
      <c r="U1174" s="215"/>
      <c r="V1174" s="215"/>
      <c r="W1174" s="215"/>
      <c r="X1174" s="215"/>
      <c r="Y1174" s="215"/>
      <c r="Z1174" s="215"/>
      <c r="AA1174" s="215"/>
      <c r="AB1174" s="215"/>
      <c r="AC1174" s="215"/>
      <c r="AD1174" s="215"/>
      <c r="AE1174" s="215"/>
      <c r="AF1174" s="215"/>
      <c r="AG1174" s="215"/>
      <c r="AH1174" s="215"/>
    </row>
    <row r="1175" spans="15:34" ht="12">
      <c r="O1175" s="215"/>
      <c r="P1175" s="215"/>
      <c r="Q1175" s="215"/>
      <c r="R1175" s="215"/>
      <c r="S1175" s="215"/>
      <c r="T1175" s="215"/>
      <c r="U1175" s="215"/>
      <c r="V1175" s="215"/>
      <c r="W1175" s="215"/>
      <c r="X1175" s="215"/>
      <c r="Y1175" s="215"/>
      <c r="Z1175" s="215"/>
      <c r="AA1175" s="215"/>
      <c r="AB1175" s="215"/>
      <c r="AC1175" s="215"/>
      <c r="AD1175" s="215"/>
      <c r="AE1175" s="215"/>
      <c r="AF1175" s="215"/>
      <c r="AG1175" s="215"/>
      <c r="AH1175" s="215"/>
    </row>
    <row r="1176" spans="15:34" ht="12">
      <c r="O1176" s="215"/>
      <c r="P1176" s="215"/>
      <c r="Q1176" s="215"/>
      <c r="R1176" s="215"/>
      <c r="S1176" s="215"/>
      <c r="T1176" s="215"/>
      <c r="U1176" s="215"/>
      <c r="V1176" s="215"/>
      <c r="W1176" s="215"/>
      <c r="X1176" s="215"/>
      <c r="Y1176" s="215"/>
      <c r="Z1176" s="215"/>
      <c r="AA1176" s="215"/>
      <c r="AB1176" s="215"/>
      <c r="AC1176" s="215"/>
      <c r="AD1176" s="215"/>
      <c r="AE1176" s="215"/>
      <c r="AF1176" s="215"/>
      <c r="AG1176" s="215"/>
      <c r="AH1176" s="215"/>
    </row>
    <row r="1177" spans="15:34" ht="12">
      <c r="O1177" s="215"/>
      <c r="P1177" s="215"/>
      <c r="Q1177" s="215"/>
      <c r="R1177" s="215"/>
      <c r="S1177" s="215"/>
      <c r="T1177" s="215"/>
      <c r="U1177" s="215"/>
      <c r="V1177" s="215"/>
      <c r="W1177" s="215"/>
      <c r="X1177" s="215"/>
      <c r="Y1177" s="215"/>
      <c r="Z1177" s="215"/>
      <c r="AA1177" s="215"/>
      <c r="AB1177" s="215"/>
      <c r="AC1177" s="215"/>
      <c r="AD1177" s="215"/>
      <c r="AE1177" s="215"/>
      <c r="AF1177" s="215"/>
      <c r="AG1177" s="215"/>
      <c r="AH1177" s="215"/>
    </row>
    <row r="1178" spans="15:34" ht="12">
      <c r="O1178" s="215"/>
      <c r="P1178" s="215"/>
      <c r="Q1178" s="215"/>
      <c r="R1178" s="215"/>
      <c r="S1178" s="215"/>
      <c r="T1178" s="215"/>
      <c r="U1178" s="215"/>
      <c r="V1178" s="215"/>
      <c r="W1178" s="215"/>
      <c r="X1178" s="215"/>
      <c r="Y1178" s="215"/>
      <c r="Z1178" s="215"/>
      <c r="AA1178" s="215"/>
      <c r="AB1178" s="215"/>
      <c r="AC1178" s="215"/>
      <c r="AD1178" s="215"/>
      <c r="AE1178" s="215"/>
      <c r="AF1178" s="215"/>
      <c r="AG1178" s="215"/>
      <c r="AH1178" s="215"/>
    </row>
    <row r="1179" spans="15:34" ht="12">
      <c r="O1179" s="215"/>
      <c r="P1179" s="215"/>
      <c r="Q1179" s="215"/>
      <c r="R1179" s="215"/>
      <c r="S1179" s="215"/>
      <c r="T1179" s="215"/>
      <c r="U1179" s="215"/>
      <c r="V1179" s="215"/>
      <c r="W1179" s="215"/>
      <c r="X1179" s="215"/>
      <c r="Y1179" s="215"/>
      <c r="Z1179" s="215"/>
      <c r="AA1179" s="215"/>
      <c r="AB1179" s="215"/>
      <c r="AC1179" s="215"/>
      <c r="AD1179" s="215"/>
      <c r="AE1179" s="215"/>
      <c r="AF1179" s="215"/>
      <c r="AG1179" s="215"/>
      <c r="AH1179" s="215"/>
    </row>
    <row r="1180" spans="15:34" ht="12">
      <c r="O1180" s="215"/>
      <c r="P1180" s="215"/>
      <c r="Q1180" s="215"/>
      <c r="R1180" s="215"/>
      <c r="S1180" s="215"/>
      <c r="T1180" s="215"/>
      <c r="U1180" s="215"/>
      <c r="V1180" s="215"/>
      <c r="W1180" s="215"/>
      <c r="X1180" s="215"/>
      <c r="Y1180" s="215"/>
      <c r="Z1180" s="215"/>
      <c r="AA1180" s="215"/>
      <c r="AB1180" s="215"/>
      <c r="AC1180" s="215"/>
      <c r="AD1180" s="215"/>
      <c r="AE1180" s="215"/>
      <c r="AF1180" s="215"/>
      <c r="AG1180" s="215"/>
      <c r="AH1180" s="215"/>
    </row>
    <row r="1181" spans="15:34" ht="12">
      <c r="O1181" s="215"/>
      <c r="P1181" s="215"/>
      <c r="Q1181" s="215"/>
      <c r="R1181" s="215"/>
      <c r="S1181" s="215"/>
      <c r="T1181" s="215"/>
      <c r="U1181" s="215"/>
      <c r="V1181" s="215"/>
      <c r="W1181" s="215"/>
      <c r="X1181" s="215"/>
      <c r="Y1181" s="215"/>
      <c r="Z1181" s="215"/>
      <c r="AA1181" s="215"/>
      <c r="AB1181" s="215"/>
      <c r="AC1181" s="215"/>
      <c r="AD1181" s="215"/>
      <c r="AE1181" s="215"/>
      <c r="AF1181" s="215"/>
      <c r="AG1181" s="215"/>
      <c r="AH1181" s="215"/>
    </row>
    <row r="1182" spans="15:34" ht="12">
      <c r="O1182" s="215"/>
      <c r="P1182" s="215"/>
      <c r="Q1182" s="215"/>
      <c r="R1182" s="215"/>
      <c r="S1182" s="215"/>
      <c r="T1182" s="215"/>
      <c r="U1182" s="215"/>
      <c r="V1182" s="215"/>
      <c r="W1182" s="215"/>
      <c r="X1182" s="215"/>
      <c r="Y1182" s="215"/>
      <c r="Z1182" s="215"/>
      <c r="AA1182" s="215"/>
      <c r="AB1182" s="215"/>
      <c r="AC1182" s="215"/>
      <c r="AD1182" s="215"/>
      <c r="AE1182" s="215"/>
      <c r="AF1182" s="215"/>
      <c r="AG1182" s="215"/>
      <c r="AH1182" s="215"/>
    </row>
    <row r="1183" spans="15:34" ht="12">
      <c r="O1183" s="215"/>
      <c r="P1183" s="215"/>
      <c r="Q1183" s="215"/>
      <c r="R1183" s="215"/>
      <c r="S1183" s="215"/>
      <c r="T1183" s="215"/>
      <c r="U1183" s="215"/>
      <c r="V1183" s="215"/>
      <c r="W1183" s="215"/>
      <c r="X1183" s="215"/>
      <c r="Y1183" s="215"/>
      <c r="Z1183" s="215"/>
      <c r="AA1183" s="215"/>
      <c r="AB1183" s="215"/>
      <c r="AC1183" s="215"/>
      <c r="AD1183" s="215"/>
      <c r="AE1183" s="215"/>
      <c r="AF1183" s="215"/>
      <c r="AG1183" s="215"/>
      <c r="AH1183" s="215"/>
    </row>
    <row r="1184" spans="15:34" ht="12">
      <c r="O1184" s="215"/>
      <c r="P1184" s="215"/>
      <c r="Q1184" s="215"/>
      <c r="R1184" s="215"/>
      <c r="S1184" s="215"/>
      <c r="T1184" s="215"/>
      <c r="U1184" s="215"/>
      <c r="V1184" s="215"/>
      <c r="W1184" s="215"/>
      <c r="X1184" s="215"/>
      <c r="Y1184" s="215"/>
      <c r="Z1184" s="215"/>
      <c r="AA1184" s="215"/>
      <c r="AB1184" s="215"/>
      <c r="AC1184" s="215"/>
      <c r="AD1184" s="215"/>
      <c r="AE1184" s="215"/>
      <c r="AF1184" s="215"/>
      <c r="AG1184" s="215"/>
      <c r="AH1184" s="215"/>
    </row>
    <row r="1185" spans="15:34" ht="12">
      <c r="O1185" s="215"/>
      <c r="P1185" s="215"/>
      <c r="Q1185" s="215"/>
      <c r="R1185" s="215"/>
      <c r="S1185" s="215"/>
      <c r="T1185" s="215"/>
      <c r="U1185" s="215"/>
      <c r="V1185" s="215"/>
      <c r="W1185" s="215"/>
      <c r="X1185" s="215"/>
      <c r="Y1185" s="215"/>
      <c r="Z1185" s="215"/>
      <c r="AA1185" s="215"/>
      <c r="AB1185" s="215"/>
      <c r="AC1185" s="215"/>
      <c r="AD1185" s="215"/>
      <c r="AE1185" s="215"/>
      <c r="AF1185" s="215"/>
      <c r="AG1185" s="215"/>
      <c r="AH1185" s="215"/>
    </row>
    <row r="1186" spans="15:34" ht="12">
      <c r="O1186" s="215"/>
      <c r="P1186" s="215"/>
      <c r="Q1186" s="215"/>
      <c r="R1186" s="215"/>
      <c r="S1186" s="215"/>
      <c r="T1186" s="215"/>
      <c r="U1186" s="215"/>
      <c r="V1186" s="215"/>
      <c r="W1186" s="215"/>
      <c r="X1186" s="215"/>
      <c r="Y1186" s="215"/>
      <c r="Z1186" s="215"/>
      <c r="AA1186" s="215"/>
      <c r="AB1186" s="215"/>
      <c r="AC1186" s="215"/>
      <c r="AD1186" s="215"/>
      <c r="AE1186" s="215"/>
      <c r="AF1186" s="215"/>
      <c r="AG1186" s="215"/>
      <c r="AH1186" s="215"/>
    </row>
    <row r="1187" spans="15:34" ht="12">
      <c r="O1187" s="215"/>
      <c r="P1187" s="215"/>
      <c r="Q1187" s="215"/>
      <c r="R1187" s="215"/>
      <c r="S1187" s="215"/>
      <c r="T1187" s="215"/>
      <c r="U1187" s="215"/>
      <c r="V1187" s="215"/>
      <c r="W1187" s="215"/>
      <c r="X1187" s="215"/>
      <c r="Y1187" s="215"/>
      <c r="Z1187" s="215"/>
      <c r="AA1187" s="215"/>
      <c r="AB1187" s="215"/>
      <c r="AC1187" s="215"/>
      <c r="AD1187" s="215"/>
      <c r="AE1187" s="215"/>
      <c r="AF1187" s="215"/>
      <c r="AG1187" s="215"/>
      <c r="AH1187" s="215"/>
    </row>
    <row r="1188" spans="15:34" ht="12">
      <c r="O1188" s="215"/>
      <c r="P1188" s="215"/>
      <c r="Q1188" s="215"/>
      <c r="R1188" s="215"/>
      <c r="S1188" s="215"/>
      <c r="T1188" s="215"/>
      <c r="U1188" s="215"/>
      <c r="V1188" s="215"/>
      <c r="W1188" s="215"/>
      <c r="X1188" s="215"/>
      <c r="Y1188" s="215"/>
      <c r="Z1188" s="215"/>
      <c r="AA1188" s="215"/>
      <c r="AB1188" s="215"/>
      <c r="AC1188" s="215"/>
      <c r="AD1188" s="215"/>
      <c r="AE1188" s="215"/>
      <c r="AF1188" s="215"/>
      <c r="AG1188" s="215"/>
      <c r="AH1188" s="215"/>
    </row>
    <row r="1189" spans="15:34" ht="12">
      <c r="O1189" s="215"/>
      <c r="P1189" s="215"/>
      <c r="Q1189" s="215"/>
      <c r="R1189" s="215"/>
      <c r="S1189" s="215"/>
      <c r="T1189" s="215"/>
      <c r="U1189" s="215"/>
      <c r="V1189" s="215"/>
      <c r="W1189" s="215"/>
      <c r="X1189" s="215"/>
      <c r="Y1189" s="215"/>
      <c r="Z1189" s="215"/>
      <c r="AA1189" s="215"/>
      <c r="AB1189" s="215"/>
      <c r="AC1189" s="215"/>
      <c r="AD1189" s="215"/>
      <c r="AE1189" s="215"/>
      <c r="AF1189" s="215"/>
      <c r="AG1189" s="215"/>
      <c r="AH1189" s="215"/>
    </row>
    <row r="1190" spans="15:34" ht="12">
      <c r="O1190" s="215"/>
      <c r="P1190" s="215"/>
      <c r="Q1190" s="215"/>
      <c r="R1190" s="215"/>
      <c r="S1190" s="215"/>
      <c r="T1190" s="215"/>
      <c r="U1190" s="215"/>
      <c r="V1190" s="215"/>
      <c r="W1190" s="215"/>
      <c r="X1190" s="215"/>
      <c r="Y1190" s="215"/>
      <c r="Z1190" s="215"/>
      <c r="AA1190" s="215"/>
      <c r="AB1190" s="215"/>
      <c r="AC1190" s="215"/>
      <c r="AD1190" s="215"/>
      <c r="AE1190" s="215"/>
      <c r="AF1190" s="215"/>
      <c r="AG1190" s="215"/>
      <c r="AH1190" s="215"/>
    </row>
    <row r="1191" spans="15:34" ht="12">
      <c r="O1191" s="215"/>
      <c r="P1191" s="215"/>
      <c r="Q1191" s="215"/>
      <c r="R1191" s="215"/>
      <c r="S1191" s="215"/>
      <c r="T1191" s="215"/>
      <c r="U1191" s="215"/>
      <c r="V1191" s="215"/>
      <c r="W1191" s="215"/>
      <c r="X1191" s="215"/>
      <c r="Y1191" s="215"/>
      <c r="Z1191" s="215"/>
      <c r="AA1191" s="215"/>
      <c r="AB1191" s="215"/>
      <c r="AC1191" s="215"/>
      <c r="AD1191" s="215"/>
      <c r="AE1191" s="215"/>
      <c r="AF1191" s="215"/>
      <c r="AG1191" s="215"/>
      <c r="AH1191" s="215"/>
    </row>
    <row r="1192" spans="15:34" ht="12">
      <c r="O1192" s="215"/>
      <c r="P1192" s="215"/>
      <c r="Q1192" s="215"/>
      <c r="R1192" s="215"/>
      <c r="S1192" s="215"/>
      <c r="T1192" s="215"/>
      <c r="U1192" s="215"/>
      <c r="V1192" s="215"/>
      <c r="W1192" s="215"/>
      <c r="X1192" s="215"/>
      <c r="Y1192" s="215"/>
      <c r="Z1192" s="215"/>
      <c r="AA1192" s="215"/>
      <c r="AB1192" s="215"/>
      <c r="AC1192" s="215"/>
      <c r="AD1192" s="215"/>
      <c r="AE1192" s="215"/>
      <c r="AF1192" s="215"/>
      <c r="AG1192" s="215"/>
      <c r="AH1192" s="215"/>
    </row>
    <row r="1193" spans="15:34" ht="12">
      <c r="O1193" s="215"/>
      <c r="P1193" s="215"/>
      <c r="Q1193" s="215"/>
      <c r="R1193" s="215"/>
      <c r="S1193" s="215"/>
      <c r="T1193" s="215"/>
      <c r="U1193" s="215"/>
      <c r="V1193" s="215"/>
      <c r="W1193" s="215"/>
      <c r="X1193" s="215"/>
      <c r="Y1193" s="215"/>
      <c r="Z1193" s="215"/>
      <c r="AA1193" s="215"/>
      <c r="AB1193" s="215"/>
      <c r="AC1193" s="215"/>
      <c r="AD1193" s="215"/>
      <c r="AE1193" s="215"/>
      <c r="AF1193" s="215"/>
      <c r="AG1193" s="215"/>
      <c r="AH1193" s="215"/>
    </row>
    <row r="1194" spans="15:34" ht="12">
      <c r="O1194" s="215"/>
      <c r="P1194" s="215"/>
      <c r="Q1194" s="215"/>
      <c r="R1194" s="215"/>
      <c r="S1194" s="215"/>
      <c r="T1194" s="215"/>
      <c r="U1194" s="215"/>
      <c r="V1194" s="215"/>
      <c r="W1194" s="215"/>
      <c r="X1194" s="215"/>
      <c r="Y1194" s="215"/>
      <c r="Z1194" s="215"/>
      <c r="AA1194" s="215"/>
      <c r="AB1194" s="215"/>
      <c r="AC1194" s="215"/>
      <c r="AD1194" s="215"/>
      <c r="AE1194" s="215"/>
      <c r="AF1194" s="215"/>
      <c r="AG1194" s="215"/>
      <c r="AH1194" s="215"/>
    </row>
    <row r="1195" spans="15:34" ht="12">
      <c r="O1195" s="215"/>
      <c r="P1195" s="215"/>
      <c r="Q1195" s="215"/>
      <c r="R1195" s="215"/>
      <c r="S1195" s="215"/>
      <c r="T1195" s="215"/>
      <c r="U1195" s="215"/>
      <c r="V1195" s="215"/>
      <c r="W1195" s="215"/>
      <c r="X1195" s="215"/>
      <c r="Y1195" s="215"/>
      <c r="Z1195" s="215"/>
      <c r="AA1195" s="215"/>
      <c r="AB1195" s="215"/>
      <c r="AC1195" s="215"/>
      <c r="AD1195" s="215"/>
      <c r="AE1195" s="215"/>
      <c r="AF1195" s="215"/>
      <c r="AG1195" s="215"/>
      <c r="AH1195" s="215"/>
    </row>
    <row r="1196" spans="15:34" ht="12">
      <c r="O1196" s="215"/>
      <c r="P1196" s="215"/>
      <c r="Q1196" s="215"/>
      <c r="R1196" s="215"/>
      <c r="S1196" s="215"/>
      <c r="T1196" s="215"/>
      <c r="U1196" s="215"/>
      <c r="V1196" s="215"/>
      <c r="W1196" s="215"/>
      <c r="X1196" s="215"/>
      <c r="Y1196" s="215"/>
      <c r="Z1196" s="215"/>
      <c r="AA1196" s="215"/>
      <c r="AB1196" s="215"/>
      <c r="AC1196" s="215"/>
      <c r="AD1196" s="215"/>
      <c r="AE1196" s="215"/>
      <c r="AF1196" s="215"/>
      <c r="AG1196" s="215"/>
      <c r="AH1196" s="215"/>
    </row>
    <row r="1197" spans="15:34" ht="12">
      <c r="O1197" s="215"/>
      <c r="P1197" s="215"/>
      <c r="Q1197" s="215"/>
      <c r="R1197" s="215"/>
      <c r="S1197" s="215"/>
      <c r="T1197" s="215"/>
      <c r="U1197" s="215"/>
      <c r="V1197" s="215"/>
      <c r="W1197" s="215"/>
      <c r="X1197" s="215"/>
      <c r="Y1197" s="215"/>
      <c r="Z1197" s="215"/>
      <c r="AA1197" s="215"/>
      <c r="AB1197" s="215"/>
      <c r="AC1197" s="215"/>
      <c r="AD1197" s="215"/>
      <c r="AE1197" s="215"/>
      <c r="AF1197" s="215"/>
      <c r="AG1197" s="215"/>
      <c r="AH1197" s="215"/>
    </row>
    <row r="1198" spans="15:34" ht="12">
      <c r="O1198" s="215"/>
      <c r="P1198" s="215"/>
      <c r="Q1198" s="215"/>
      <c r="R1198" s="215"/>
      <c r="S1198" s="215"/>
      <c r="T1198" s="215"/>
      <c r="U1198" s="215"/>
      <c r="V1198" s="215"/>
      <c r="W1198" s="215"/>
      <c r="X1198" s="215"/>
      <c r="Y1198" s="215"/>
      <c r="Z1198" s="215"/>
      <c r="AA1198" s="215"/>
      <c r="AB1198" s="215"/>
      <c r="AC1198" s="215"/>
      <c r="AD1198" s="215"/>
      <c r="AE1198" s="215"/>
      <c r="AF1198" s="215"/>
      <c r="AG1198" s="215"/>
      <c r="AH1198" s="215"/>
    </row>
    <row r="1199" spans="15:34" ht="12">
      <c r="O1199" s="215"/>
      <c r="P1199" s="215"/>
      <c r="Q1199" s="215"/>
      <c r="R1199" s="215"/>
      <c r="S1199" s="215"/>
      <c r="T1199" s="215"/>
      <c r="U1199" s="215"/>
      <c r="V1199" s="215"/>
      <c r="W1199" s="215"/>
      <c r="X1199" s="215"/>
      <c r="Y1199" s="215"/>
      <c r="Z1199" s="215"/>
      <c r="AA1199" s="215"/>
      <c r="AB1199" s="215"/>
      <c r="AC1199" s="215"/>
      <c r="AD1199" s="215"/>
      <c r="AE1199" s="215"/>
      <c r="AF1199" s="215"/>
      <c r="AG1199" s="215"/>
      <c r="AH1199" s="215"/>
    </row>
    <row r="1200" spans="15:34" ht="12">
      <c r="O1200" s="215"/>
      <c r="P1200" s="215"/>
      <c r="Q1200" s="215"/>
      <c r="R1200" s="215"/>
      <c r="S1200" s="215"/>
      <c r="T1200" s="215"/>
      <c r="U1200" s="215"/>
      <c r="V1200" s="215"/>
      <c r="W1200" s="215"/>
      <c r="X1200" s="215"/>
      <c r="Y1200" s="215"/>
      <c r="Z1200" s="215"/>
      <c r="AA1200" s="215"/>
      <c r="AB1200" s="215"/>
      <c r="AC1200" s="215"/>
      <c r="AD1200" s="215"/>
      <c r="AE1200" s="215"/>
      <c r="AF1200" s="215"/>
      <c r="AG1200" s="215"/>
      <c r="AH1200" s="215"/>
    </row>
    <row r="1201" spans="15:34" ht="12">
      <c r="O1201" s="215"/>
      <c r="P1201" s="215"/>
      <c r="Q1201" s="215"/>
      <c r="R1201" s="215"/>
      <c r="S1201" s="215"/>
      <c r="T1201" s="215"/>
      <c r="U1201" s="215"/>
      <c r="V1201" s="215"/>
      <c r="W1201" s="215"/>
      <c r="X1201" s="215"/>
      <c r="Y1201" s="215"/>
      <c r="Z1201" s="215"/>
      <c r="AA1201" s="215"/>
      <c r="AB1201" s="215"/>
      <c r="AC1201" s="215"/>
      <c r="AD1201" s="215"/>
      <c r="AE1201" s="215"/>
      <c r="AF1201" s="215"/>
      <c r="AG1201" s="215"/>
      <c r="AH1201" s="215"/>
    </row>
    <row r="1202" spans="15:34" ht="12">
      <c r="O1202" s="215"/>
      <c r="P1202" s="215"/>
      <c r="Q1202" s="215"/>
      <c r="R1202" s="215"/>
      <c r="S1202" s="215"/>
      <c r="T1202" s="215"/>
      <c r="U1202" s="215"/>
      <c r="V1202" s="215"/>
      <c r="W1202" s="215"/>
      <c r="X1202" s="215"/>
      <c r="Y1202" s="215"/>
      <c r="Z1202" s="215"/>
      <c r="AA1202" s="215"/>
      <c r="AB1202" s="215"/>
      <c r="AC1202" s="215"/>
      <c r="AD1202" s="215"/>
      <c r="AE1202" s="215"/>
      <c r="AF1202" s="215"/>
      <c r="AG1202" s="215"/>
      <c r="AH1202" s="215"/>
    </row>
    <row r="1203" spans="15:34" ht="12">
      <c r="O1203" s="215"/>
      <c r="P1203" s="215"/>
      <c r="Q1203" s="215"/>
      <c r="R1203" s="215"/>
      <c r="S1203" s="215"/>
      <c r="T1203" s="215"/>
      <c r="U1203" s="215"/>
      <c r="V1203" s="215"/>
      <c r="W1203" s="215"/>
      <c r="X1203" s="215"/>
      <c r="Y1203" s="215"/>
      <c r="Z1203" s="215"/>
      <c r="AA1203" s="215"/>
      <c r="AB1203" s="215"/>
      <c r="AC1203" s="215"/>
      <c r="AD1203" s="215"/>
      <c r="AE1203" s="215"/>
      <c r="AF1203" s="215"/>
      <c r="AG1203" s="215"/>
      <c r="AH1203" s="215"/>
    </row>
    <row r="1204" spans="15:34" ht="12">
      <c r="O1204" s="215"/>
      <c r="P1204" s="215"/>
      <c r="Q1204" s="215"/>
      <c r="R1204" s="215"/>
      <c r="S1204" s="215"/>
      <c r="T1204" s="215"/>
      <c r="U1204" s="215"/>
      <c r="V1204" s="215"/>
      <c r="W1204" s="215"/>
      <c r="X1204" s="215"/>
      <c r="Y1204" s="215"/>
      <c r="Z1204" s="215"/>
      <c r="AA1204" s="215"/>
      <c r="AB1204" s="215"/>
      <c r="AC1204" s="215"/>
      <c r="AD1204" s="215"/>
      <c r="AE1204" s="215"/>
      <c r="AF1204" s="215"/>
      <c r="AG1204" s="215"/>
      <c r="AH1204" s="215"/>
    </row>
    <row r="1205" spans="15:34" ht="12">
      <c r="O1205" s="215"/>
      <c r="P1205" s="215"/>
      <c r="Q1205" s="215"/>
      <c r="R1205" s="215"/>
      <c r="S1205" s="215"/>
      <c r="T1205" s="215"/>
      <c r="U1205" s="215"/>
      <c r="V1205" s="215"/>
      <c r="W1205" s="215"/>
      <c r="X1205" s="215"/>
      <c r="Y1205" s="215"/>
      <c r="Z1205" s="215"/>
      <c r="AA1205" s="215"/>
      <c r="AB1205" s="215"/>
      <c r="AC1205" s="215"/>
      <c r="AD1205" s="215"/>
      <c r="AE1205" s="215"/>
      <c r="AF1205" s="215"/>
      <c r="AG1205" s="215"/>
      <c r="AH1205" s="215"/>
    </row>
    <row r="1206" spans="15:34" ht="12">
      <c r="O1206" s="215"/>
      <c r="P1206" s="215"/>
      <c r="Q1206" s="215"/>
      <c r="R1206" s="215"/>
      <c r="S1206" s="215"/>
      <c r="T1206" s="215"/>
      <c r="U1206" s="215"/>
      <c r="V1206" s="215"/>
      <c r="W1206" s="215"/>
      <c r="X1206" s="215"/>
      <c r="Y1206" s="215"/>
      <c r="Z1206" s="215"/>
      <c r="AA1206" s="215"/>
      <c r="AB1206" s="215"/>
      <c r="AC1206" s="215"/>
      <c r="AD1206" s="215"/>
      <c r="AE1206" s="215"/>
      <c r="AF1206" s="215"/>
      <c r="AG1206" s="215"/>
      <c r="AH1206" s="215"/>
    </row>
    <row r="1207" spans="15:34" ht="12">
      <c r="O1207" s="215"/>
      <c r="P1207" s="215"/>
      <c r="Q1207" s="215"/>
      <c r="R1207" s="215"/>
      <c r="S1207" s="215"/>
      <c r="T1207" s="215"/>
      <c r="U1207" s="215"/>
      <c r="V1207" s="215"/>
      <c r="W1207" s="215"/>
      <c r="X1207" s="215"/>
      <c r="Y1207" s="215"/>
      <c r="Z1207" s="215"/>
      <c r="AA1207" s="215"/>
      <c r="AB1207" s="215"/>
      <c r="AC1207" s="215"/>
      <c r="AD1207" s="215"/>
      <c r="AE1207" s="215"/>
      <c r="AF1207" s="215"/>
      <c r="AG1207" s="215"/>
      <c r="AH1207" s="215"/>
    </row>
    <row r="1208" spans="15:34" ht="12">
      <c r="O1208" s="215"/>
      <c r="P1208" s="215"/>
      <c r="Q1208" s="215"/>
      <c r="R1208" s="215"/>
      <c r="S1208" s="215"/>
      <c r="T1208" s="215"/>
      <c r="U1208" s="215"/>
      <c r="V1208" s="215"/>
      <c r="W1208" s="215"/>
      <c r="X1208" s="215"/>
      <c r="Y1208" s="215"/>
      <c r="Z1208" s="215"/>
      <c r="AA1208" s="215"/>
      <c r="AB1208" s="215"/>
      <c r="AC1208" s="215"/>
      <c r="AD1208" s="215"/>
      <c r="AE1208" s="215"/>
      <c r="AF1208" s="215"/>
      <c r="AG1208" s="215"/>
      <c r="AH1208" s="215"/>
    </row>
    <row r="1209" spans="15:34" ht="12">
      <c r="O1209" s="215"/>
      <c r="P1209" s="215"/>
      <c r="Q1209" s="215"/>
      <c r="R1209" s="215"/>
      <c r="S1209" s="215"/>
      <c r="T1209" s="215"/>
      <c r="U1209" s="215"/>
      <c r="V1209" s="215"/>
      <c r="W1209" s="215"/>
      <c r="X1209" s="215"/>
      <c r="Y1209" s="215"/>
      <c r="Z1209" s="215"/>
      <c r="AA1209" s="215"/>
      <c r="AB1209" s="215"/>
      <c r="AC1209" s="215"/>
      <c r="AD1209" s="215"/>
      <c r="AE1209" s="215"/>
      <c r="AF1209" s="215"/>
      <c r="AG1209" s="215"/>
      <c r="AH1209" s="215"/>
    </row>
    <row r="1210" spans="15:34" ht="12">
      <c r="O1210" s="215"/>
      <c r="P1210" s="215"/>
      <c r="Q1210" s="215"/>
      <c r="R1210" s="215"/>
      <c r="S1210" s="215"/>
      <c r="T1210" s="215"/>
      <c r="U1210" s="215"/>
      <c r="V1210" s="215"/>
      <c r="W1210" s="215"/>
      <c r="X1210" s="215"/>
      <c r="Y1210" s="215"/>
      <c r="Z1210" s="215"/>
      <c r="AA1210" s="215"/>
      <c r="AB1210" s="215"/>
      <c r="AC1210" s="215"/>
      <c r="AD1210" s="215"/>
      <c r="AE1210" s="215"/>
      <c r="AF1210" s="215"/>
      <c r="AG1210" s="215"/>
      <c r="AH1210" s="215"/>
    </row>
    <row r="1211" spans="15:34" ht="12">
      <c r="O1211" s="215"/>
      <c r="P1211" s="215"/>
      <c r="Q1211" s="215"/>
      <c r="R1211" s="215"/>
      <c r="S1211" s="215"/>
      <c r="T1211" s="215"/>
      <c r="U1211" s="215"/>
      <c r="V1211" s="215"/>
      <c r="W1211" s="215"/>
      <c r="X1211" s="215"/>
      <c r="Y1211" s="215"/>
      <c r="Z1211" s="215"/>
      <c r="AA1211" s="215"/>
      <c r="AB1211" s="215"/>
      <c r="AC1211" s="215"/>
      <c r="AD1211" s="215"/>
      <c r="AE1211" s="215"/>
      <c r="AF1211" s="215"/>
      <c r="AG1211" s="215"/>
      <c r="AH1211" s="215"/>
    </row>
    <row r="1212" spans="15:34" ht="12">
      <c r="O1212" s="215"/>
      <c r="P1212" s="215"/>
      <c r="Q1212" s="215"/>
      <c r="R1212" s="215"/>
      <c r="S1212" s="215"/>
      <c r="T1212" s="215"/>
      <c r="U1212" s="215"/>
      <c r="V1212" s="215"/>
      <c r="W1212" s="215"/>
      <c r="X1212" s="215"/>
      <c r="Y1212" s="215"/>
      <c r="Z1212" s="215"/>
      <c r="AA1212" s="215"/>
      <c r="AB1212" s="215"/>
      <c r="AC1212" s="215"/>
      <c r="AD1212" s="215"/>
      <c r="AE1212" s="215"/>
      <c r="AF1212" s="215"/>
      <c r="AG1212" s="215"/>
      <c r="AH1212" s="215"/>
    </row>
    <row r="1213" spans="15:34" ht="12">
      <c r="O1213" s="215"/>
      <c r="P1213" s="215"/>
      <c r="Q1213" s="215"/>
      <c r="R1213" s="215"/>
      <c r="S1213" s="215"/>
      <c r="T1213" s="215"/>
      <c r="U1213" s="215"/>
      <c r="V1213" s="215"/>
      <c r="W1213" s="215"/>
      <c r="X1213" s="215"/>
      <c r="Y1213" s="215"/>
      <c r="Z1213" s="215"/>
      <c r="AA1213" s="215"/>
      <c r="AB1213" s="215"/>
      <c r="AC1213" s="215"/>
      <c r="AD1213" s="215"/>
      <c r="AE1213" s="215"/>
      <c r="AF1213" s="215"/>
      <c r="AG1213" s="215"/>
      <c r="AH1213" s="215"/>
    </row>
    <row r="1214" spans="15:34" ht="12">
      <c r="O1214" s="215"/>
      <c r="P1214" s="215"/>
      <c r="Q1214" s="215"/>
      <c r="R1214" s="215"/>
      <c r="S1214" s="215"/>
      <c r="T1214" s="215"/>
      <c r="U1214" s="215"/>
      <c r="V1214" s="215"/>
      <c r="W1214" s="215"/>
      <c r="X1214" s="215"/>
      <c r="Y1214" s="215"/>
      <c r="Z1214" s="215"/>
      <c r="AA1214" s="215"/>
      <c r="AB1214" s="215"/>
      <c r="AC1214" s="215"/>
      <c r="AD1214" s="215"/>
      <c r="AE1214" s="215"/>
      <c r="AF1214" s="215"/>
      <c r="AG1214" s="215"/>
      <c r="AH1214" s="215"/>
    </row>
    <row r="1215" spans="15:34" ht="12">
      <c r="O1215" s="215"/>
      <c r="P1215" s="215"/>
      <c r="Q1215" s="215"/>
      <c r="R1215" s="215"/>
      <c r="S1215" s="215"/>
      <c r="T1215" s="215"/>
      <c r="U1215" s="215"/>
      <c r="V1215" s="215"/>
      <c r="W1215" s="215"/>
      <c r="X1215" s="215"/>
      <c r="Y1215" s="215"/>
      <c r="Z1215" s="215"/>
      <c r="AA1215" s="215"/>
      <c r="AB1215" s="215"/>
      <c r="AC1215" s="215"/>
      <c r="AD1215" s="215"/>
      <c r="AE1215" s="215"/>
      <c r="AF1215" s="215"/>
      <c r="AG1215" s="215"/>
      <c r="AH1215" s="215"/>
    </row>
    <row r="1216" spans="15:34" ht="12">
      <c r="O1216" s="215"/>
      <c r="P1216" s="215"/>
      <c r="Q1216" s="215"/>
      <c r="R1216" s="215"/>
      <c r="S1216" s="215"/>
      <c r="T1216" s="215"/>
      <c r="U1216" s="215"/>
      <c r="V1216" s="215"/>
      <c r="W1216" s="215"/>
      <c r="X1216" s="215"/>
      <c r="Y1216" s="215"/>
      <c r="Z1216" s="215"/>
      <c r="AA1216" s="215"/>
      <c r="AB1216" s="215"/>
      <c r="AC1216" s="215"/>
      <c r="AD1216" s="215"/>
      <c r="AE1216" s="215"/>
      <c r="AF1216" s="215"/>
      <c r="AG1216" s="215"/>
      <c r="AH1216" s="215"/>
    </row>
    <row r="1217" spans="15:34" ht="12">
      <c r="O1217" s="215"/>
      <c r="P1217" s="215"/>
      <c r="Q1217" s="215"/>
      <c r="R1217" s="215"/>
      <c r="S1217" s="215"/>
      <c r="T1217" s="215"/>
      <c r="U1217" s="215"/>
      <c r="V1217" s="215"/>
      <c r="W1217" s="215"/>
      <c r="X1217" s="215"/>
      <c r="Y1217" s="215"/>
      <c r="Z1217" s="215"/>
      <c r="AA1217" s="215"/>
      <c r="AB1217" s="215"/>
      <c r="AC1217" s="215"/>
      <c r="AD1217" s="215"/>
      <c r="AE1217" s="215"/>
      <c r="AF1217" s="215"/>
      <c r="AG1217" s="215"/>
      <c r="AH1217" s="215"/>
    </row>
    <row r="1218" spans="15:34" ht="12">
      <c r="O1218" s="215"/>
      <c r="P1218" s="215"/>
      <c r="Q1218" s="215"/>
      <c r="R1218" s="215"/>
      <c r="S1218" s="215"/>
      <c r="T1218" s="215"/>
      <c r="U1218" s="215"/>
      <c r="V1218" s="215"/>
      <c r="W1218" s="215"/>
      <c r="X1218" s="215"/>
      <c r="Y1218" s="215"/>
      <c r="Z1218" s="215"/>
      <c r="AA1218" s="215"/>
      <c r="AB1218" s="215"/>
      <c r="AC1218" s="215"/>
      <c r="AD1218" s="215"/>
      <c r="AE1218" s="215"/>
      <c r="AF1218" s="215"/>
      <c r="AG1218" s="215"/>
      <c r="AH1218" s="215"/>
    </row>
    <row r="1219" spans="15:34" ht="12">
      <c r="O1219" s="215"/>
      <c r="P1219" s="215"/>
      <c r="Q1219" s="215"/>
      <c r="R1219" s="215"/>
      <c r="S1219" s="215"/>
      <c r="T1219" s="215"/>
      <c r="U1219" s="215"/>
      <c r="V1219" s="215"/>
      <c r="W1219" s="215"/>
      <c r="X1219" s="215"/>
      <c r="Y1219" s="215"/>
      <c r="Z1219" s="215"/>
      <c r="AA1219" s="215"/>
      <c r="AB1219" s="215"/>
      <c r="AC1219" s="215"/>
      <c r="AD1219" s="215"/>
      <c r="AE1219" s="215"/>
      <c r="AF1219" s="215"/>
      <c r="AG1219" s="215"/>
      <c r="AH1219" s="215"/>
    </row>
    <row r="1220" spans="15:34" ht="12">
      <c r="O1220" s="215"/>
      <c r="P1220" s="215"/>
      <c r="Q1220" s="215"/>
      <c r="R1220" s="215"/>
      <c r="S1220" s="215"/>
      <c r="T1220" s="215"/>
      <c r="U1220" s="215"/>
      <c r="V1220" s="215"/>
      <c r="W1220" s="215"/>
      <c r="X1220" s="215"/>
      <c r="Y1220" s="215"/>
      <c r="Z1220" s="215"/>
      <c r="AA1220" s="215"/>
      <c r="AB1220" s="215"/>
      <c r="AC1220" s="215"/>
      <c r="AD1220" s="215"/>
      <c r="AE1220" s="215"/>
      <c r="AF1220" s="215"/>
      <c r="AG1220" s="215"/>
      <c r="AH1220" s="215"/>
    </row>
    <row r="1221" spans="15:34" ht="12">
      <c r="O1221" s="215"/>
      <c r="P1221" s="215"/>
      <c r="Q1221" s="215"/>
      <c r="R1221" s="215"/>
      <c r="S1221" s="215"/>
      <c r="T1221" s="215"/>
      <c r="U1221" s="215"/>
      <c r="V1221" s="215"/>
      <c r="W1221" s="215"/>
      <c r="X1221" s="215"/>
      <c r="Y1221" s="215"/>
      <c r="Z1221" s="215"/>
      <c r="AA1221" s="215"/>
      <c r="AB1221" s="215"/>
      <c r="AC1221" s="215"/>
      <c r="AD1221" s="215"/>
      <c r="AE1221" s="215"/>
      <c r="AF1221" s="215"/>
      <c r="AG1221" s="215"/>
      <c r="AH1221" s="215"/>
    </row>
    <row r="1222" spans="15:34" ht="12">
      <c r="O1222" s="215"/>
      <c r="P1222" s="215"/>
      <c r="Q1222" s="215"/>
      <c r="R1222" s="215"/>
      <c r="S1222" s="215"/>
      <c r="T1222" s="215"/>
      <c r="U1222" s="215"/>
      <c r="V1222" s="215"/>
      <c r="W1222" s="215"/>
      <c r="X1222" s="215"/>
      <c r="Y1222" s="215"/>
      <c r="Z1222" s="215"/>
      <c r="AA1222" s="215"/>
      <c r="AB1222" s="215"/>
      <c r="AC1222" s="215"/>
      <c r="AD1222" s="215"/>
      <c r="AE1222" s="215"/>
      <c r="AF1222" s="215"/>
      <c r="AG1222" s="215"/>
      <c r="AH1222" s="215"/>
    </row>
    <row r="1223" spans="15:34" ht="12">
      <c r="O1223" s="215"/>
      <c r="P1223" s="215"/>
      <c r="Q1223" s="215"/>
      <c r="R1223" s="215"/>
      <c r="S1223" s="215"/>
      <c r="T1223" s="215"/>
      <c r="U1223" s="215"/>
      <c r="V1223" s="215"/>
      <c r="W1223" s="215"/>
      <c r="X1223" s="215"/>
      <c r="Y1223" s="215"/>
      <c r="Z1223" s="215"/>
      <c r="AA1223" s="215"/>
      <c r="AB1223" s="215"/>
      <c r="AC1223" s="215"/>
      <c r="AD1223" s="215"/>
      <c r="AE1223" s="215"/>
      <c r="AF1223" s="215"/>
      <c r="AG1223" s="215"/>
      <c r="AH1223" s="215"/>
    </row>
    <row r="1224" spans="15:34" ht="12">
      <c r="O1224" s="215"/>
      <c r="P1224" s="215"/>
      <c r="Q1224" s="215"/>
      <c r="R1224" s="215"/>
      <c r="S1224" s="215"/>
      <c r="T1224" s="215"/>
      <c r="U1224" s="215"/>
      <c r="V1224" s="215"/>
      <c r="W1224" s="215"/>
      <c r="X1224" s="215"/>
      <c r="Y1224" s="215"/>
      <c r="Z1224" s="215"/>
      <c r="AA1224" s="215"/>
      <c r="AB1224" s="215"/>
      <c r="AC1224" s="215"/>
      <c r="AD1224" s="215"/>
      <c r="AE1224" s="215"/>
      <c r="AF1224" s="215"/>
      <c r="AG1224" s="215"/>
      <c r="AH1224" s="215"/>
    </row>
    <row r="1225" spans="15:34" ht="12">
      <c r="O1225" s="215"/>
      <c r="P1225" s="215"/>
      <c r="Q1225" s="215"/>
      <c r="R1225" s="215"/>
      <c r="S1225" s="215"/>
      <c r="T1225" s="215"/>
      <c r="U1225" s="215"/>
      <c r="V1225" s="215"/>
      <c r="W1225" s="215"/>
      <c r="X1225" s="215"/>
      <c r="Y1225" s="215"/>
      <c r="Z1225" s="215"/>
      <c r="AA1225" s="215"/>
      <c r="AB1225" s="215"/>
      <c r="AC1225" s="215"/>
      <c r="AD1225" s="215"/>
      <c r="AE1225" s="215"/>
      <c r="AF1225" s="215"/>
      <c r="AG1225" s="215"/>
      <c r="AH1225" s="215"/>
    </row>
    <row r="1226" spans="15:34" ht="12">
      <c r="O1226" s="215"/>
      <c r="P1226" s="215"/>
      <c r="Q1226" s="215"/>
      <c r="R1226" s="215"/>
      <c r="S1226" s="215"/>
      <c r="T1226" s="215"/>
      <c r="U1226" s="215"/>
      <c r="V1226" s="215"/>
      <c r="W1226" s="215"/>
      <c r="X1226" s="215"/>
      <c r="Y1226" s="215"/>
      <c r="Z1226" s="215"/>
      <c r="AA1226" s="215"/>
      <c r="AB1226" s="215"/>
      <c r="AC1226" s="215"/>
      <c r="AD1226" s="215"/>
      <c r="AE1226" s="215"/>
      <c r="AF1226" s="215"/>
      <c r="AG1226" s="215"/>
      <c r="AH1226" s="215"/>
    </row>
    <row r="1227" spans="15:34" ht="12">
      <c r="O1227" s="215"/>
      <c r="P1227" s="215"/>
      <c r="Q1227" s="215"/>
      <c r="R1227" s="215"/>
      <c r="S1227" s="215"/>
      <c r="T1227" s="215"/>
      <c r="U1227" s="215"/>
      <c r="V1227" s="215"/>
      <c r="W1227" s="215"/>
      <c r="X1227" s="215"/>
      <c r="Y1227" s="215"/>
      <c r="Z1227" s="215"/>
      <c r="AA1227" s="215"/>
      <c r="AB1227" s="215"/>
      <c r="AC1227" s="215"/>
      <c r="AD1227" s="215"/>
      <c r="AE1227" s="215"/>
      <c r="AF1227" s="215"/>
      <c r="AG1227" s="215"/>
      <c r="AH1227" s="215"/>
    </row>
    <row r="1228" spans="15:34" ht="12">
      <c r="O1228" s="215"/>
      <c r="P1228" s="215"/>
      <c r="Q1228" s="215"/>
      <c r="R1228" s="215"/>
      <c r="S1228" s="215"/>
      <c r="T1228" s="215"/>
      <c r="U1228" s="215"/>
      <c r="V1228" s="215"/>
      <c r="W1228" s="215"/>
      <c r="X1228" s="215"/>
      <c r="Y1228" s="215"/>
      <c r="Z1228" s="215"/>
      <c r="AA1228" s="215"/>
      <c r="AB1228" s="215"/>
      <c r="AC1228" s="215"/>
      <c r="AD1228" s="215"/>
      <c r="AE1228" s="215"/>
      <c r="AF1228" s="215"/>
      <c r="AG1228" s="215"/>
      <c r="AH1228" s="215"/>
    </row>
    <row r="1229" spans="15:34" ht="12">
      <c r="O1229" s="215"/>
      <c r="P1229" s="215"/>
      <c r="Q1229" s="215"/>
      <c r="R1229" s="215"/>
      <c r="S1229" s="215"/>
      <c r="T1229" s="215"/>
      <c r="U1229" s="215"/>
      <c r="V1229" s="215"/>
      <c r="W1229" s="215"/>
      <c r="X1229" s="215"/>
      <c r="Y1229" s="215"/>
      <c r="Z1229" s="215"/>
      <c r="AA1229" s="215"/>
      <c r="AB1229" s="215"/>
      <c r="AC1229" s="215"/>
      <c r="AD1229" s="215"/>
      <c r="AE1229" s="215"/>
      <c r="AF1229" s="215"/>
      <c r="AG1229" s="215"/>
      <c r="AH1229" s="215"/>
    </row>
    <row r="1230" spans="15:34" ht="12">
      <c r="O1230" s="215"/>
      <c r="P1230" s="215"/>
      <c r="Q1230" s="215"/>
      <c r="R1230" s="215"/>
      <c r="S1230" s="215"/>
      <c r="T1230" s="215"/>
      <c r="U1230" s="215"/>
      <c r="V1230" s="215"/>
      <c r="W1230" s="215"/>
      <c r="X1230" s="215"/>
      <c r="Y1230" s="215"/>
      <c r="Z1230" s="215"/>
      <c r="AA1230" s="215"/>
      <c r="AB1230" s="215"/>
      <c r="AC1230" s="215"/>
      <c r="AD1230" s="215"/>
      <c r="AE1230" s="215"/>
      <c r="AF1230" s="215"/>
      <c r="AG1230" s="215"/>
      <c r="AH1230" s="215"/>
    </row>
    <row r="1231" spans="15:34" ht="12">
      <c r="O1231" s="215"/>
      <c r="P1231" s="215"/>
      <c r="Q1231" s="215"/>
      <c r="R1231" s="215"/>
      <c r="S1231" s="215"/>
      <c r="T1231" s="215"/>
      <c r="U1231" s="215"/>
      <c r="V1231" s="215"/>
      <c r="W1231" s="215"/>
      <c r="X1231" s="215"/>
      <c r="Y1231" s="215"/>
      <c r="Z1231" s="215"/>
      <c r="AA1231" s="215"/>
      <c r="AB1231" s="215"/>
      <c r="AC1231" s="215"/>
      <c r="AD1231" s="215"/>
      <c r="AE1231" s="215"/>
      <c r="AF1231" s="215"/>
      <c r="AG1231" s="215"/>
      <c r="AH1231" s="215"/>
    </row>
    <row r="1232" spans="15:34" ht="12">
      <c r="O1232" s="215"/>
      <c r="P1232" s="215"/>
      <c r="Q1232" s="215"/>
      <c r="R1232" s="215"/>
      <c r="S1232" s="215"/>
      <c r="T1232" s="215"/>
      <c r="U1232" s="215"/>
      <c r="V1232" s="215"/>
      <c r="W1232" s="215"/>
      <c r="X1232" s="215"/>
      <c r="Y1232" s="215"/>
      <c r="Z1232" s="215"/>
      <c r="AA1232" s="215"/>
      <c r="AB1232" s="215"/>
      <c r="AC1232" s="215"/>
      <c r="AD1232" s="215"/>
      <c r="AE1232" s="215"/>
      <c r="AF1232" s="215"/>
      <c r="AG1232" s="215"/>
      <c r="AH1232" s="215"/>
    </row>
    <row r="1233" spans="15:34" ht="12">
      <c r="O1233" s="215"/>
      <c r="P1233" s="215"/>
      <c r="Q1233" s="215"/>
      <c r="R1233" s="215"/>
      <c r="S1233" s="215"/>
      <c r="T1233" s="215"/>
      <c r="U1233" s="215"/>
      <c r="V1233" s="215"/>
      <c r="W1233" s="215"/>
      <c r="X1233" s="215"/>
      <c r="Y1233" s="215"/>
      <c r="Z1233" s="215"/>
      <c r="AA1233" s="215"/>
      <c r="AB1233" s="215"/>
      <c r="AC1233" s="215"/>
      <c r="AD1233" s="215"/>
      <c r="AE1233" s="215"/>
      <c r="AF1233" s="215"/>
      <c r="AG1233" s="215"/>
      <c r="AH1233" s="215"/>
    </row>
    <row r="1234" spans="15:34" ht="12">
      <c r="O1234" s="215"/>
      <c r="P1234" s="215"/>
      <c r="Q1234" s="215"/>
      <c r="R1234" s="215"/>
      <c r="S1234" s="215"/>
      <c r="T1234" s="215"/>
      <c r="U1234" s="215"/>
      <c r="V1234" s="215"/>
      <c r="W1234" s="215"/>
      <c r="X1234" s="215"/>
      <c r="Y1234" s="215"/>
      <c r="Z1234" s="215"/>
      <c r="AA1234" s="215"/>
      <c r="AB1234" s="215"/>
      <c r="AC1234" s="215"/>
      <c r="AD1234" s="215"/>
      <c r="AE1234" s="215"/>
      <c r="AF1234" s="215"/>
      <c r="AG1234" s="215"/>
      <c r="AH1234" s="215"/>
    </row>
    <row r="1235" spans="15:34" ht="12">
      <c r="O1235" s="215"/>
      <c r="P1235" s="215"/>
      <c r="Q1235" s="215"/>
      <c r="R1235" s="215"/>
      <c r="S1235" s="215"/>
      <c r="T1235" s="215"/>
      <c r="U1235" s="215"/>
      <c r="V1235" s="215"/>
      <c r="W1235" s="215"/>
      <c r="X1235" s="215"/>
      <c r="Y1235" s="215"/>
      <c r="Z1235" s="215"/>
      <c r="AA1235" s="215"/>
      <c r="AB1235" s="215"/>
      <c r="AC1235" s="215"/>
      <c r="AD1235" s="215"/>
      <c r="AE1235" s="215"/>
      <c r="AF1235" s="215"/>
      <c r="AG1235" s="215"/>
      <c r="AH1235" s="215"/>
    </row>
    <row r="1236" spans="15:34" ht="12">
      <c r="O1236" s="215"/>
      <c r="P1236" s="215"/>
      <c r="Q1236" s="215"/>
      <c r="R1236" s="215"/>
      <c r="S1236" s="215"/>
      <c r="T1236" s="215"/>
      <c r="U1236" s="215"/>
      <c r="V1236" s="215"/>
      <c r="W1236" s="215"/>
      <c r="X1236" s="215"/>
      <c r="Y1236" s="215"/>
      <c r="Z1236" s="215"/>
      <c r="AA1236" s="215"/>
      <c r="AB1236" s="215"/>
      <c r="AC1236" s="215"/>
      <c r="AD1236" s="215"/>
      <c r="AE1236" s="215"/>
      <c r="AF1236" s="215"/>
      <c r="AG1236" s="215"/>
      <c r="AH1236" s="215"/>
    </row>
    <row r="1237" spans="15:34" ht="12">
      <c r="O1237" s="215"/>
      <c r="P1237" s="215"/>
      <c r="Q1237" s="215"/>
      <c r="R1237" s="215"/>
      <c r="S1237" s="215"/>
      <c r="T1237" s="215"/>
      <c r="U1237" s="215"/>
      <c r="V1237" s="215"/>
      <c r="W1237" s="215"/>
      <c r="X1237" s="215"/>
      <c r="Y1237" s="215"/>
      <c r="Z1237" s="215"/>
      <c r="AA1237" s="215"/>
      <c r="AB1237" s="215"/>
      <c r="AC1237" s="215"/>
      <c r="AD1237" s="215"/>
      <c r="AE1237" s="215"/>
      <c r="AF1237" s="215"/>
      <c r="AG1237" s="215"/>
      <c r="AH1237" s="215"/>
    </row>
    <row r="1238" spans="15:34" ht="12">
      <c r="O1238" s="215"/>
      <c r="P1238" s="215"/>
      <c r="Q1238" s="215"/>
      <c r="R1238" s="215"/>
      <c r="S1238" s="215"/>
      <c r="T1238" s="215"/>
      <c r="U1238" s="215"/>
      <c r="V1238" s="215"/>
      <c r="W1238" s="215"/>
      <c r="X1238" s="215"/>
      <c r="Y1238" s="215"/>
      <c r="Z1238" s="215"/>
      <c r="AA1238" s="215"/>
      <c r="AB1238" s="215"/>
      <c r="AC1238" s="215"/>
      <c r="AD1238" s="215"/>
      <c r="AE1238" s="215"/>
      <c r="AF1238" s="215"/>
      <c r="AG1238" s="215"/>
      <c r="AH1238" s="215"/>
    </row>
    <row r="1239" spans="15:34" ht="12">
      <c r="O1239" s="215"/>
      <c r="P1239" s="215"/>
      <c r="Q1239" s="215"/>
      <c r="R1239" s="215"/>
      <c r="S1239" s="215"/>
      <c r="T1239" s="215"/>
      <c r="U1239" s="215"/>
      <c r="V1239" s="215"/>
      <c r="W1239" s="215"/>
      <c r="X1239" s="215"/>
      <c r="Y1239" s="215"/>
      <c r="Z1239" s="215"/>
      <c r="AA1239" s="215"/>
      <c r="AB1239" s="215"/>
      <c r="AC1239" s="215"/>
      <c r="AD1239" s="215"/>
      <c r="AE1239" s="215"/>
      <c r="AF1239" s="215"/>
      <c r="AG1239" s="215"/>
      <c r="AH1239" s="215"/>
    </row>
    <row r="1240" spans="15:34" ht="12">
      <c r="O1240" s="215"/>
      <c r="P1240" s="215"/>
      <c r="Q1240" s="215"/>
      <c r="R1240" s="215"/>
      <c r="S1240" s="215"/>
      <c r="T1240" s="215"/>
      <c r="U1240" s="215"/>
      <c r="V1240" s="215"/>
      <c r="W1240" s="215"/>
      <c r="X1240" s="215"/>
      <c r="Y1240" s="215"/>
      <c r="Z1240" s="215"/>
      <c r="AA1240" s="215"/>
      <c r="AB1240" s="215"/>
      <c r="AC1240" s="215"/>
      <c r="AD1240" s="215"/>
      <c r="AE1240" s="215"/>
      <c r="AF1240" s="215"/>
      <c r="AG1240" s="215"/>
      <c r="AH1240" s="215"/>
    </row>
    <row r="1241" spans="15:34" ht="12">
      <c r="O1241" s="215"/>
      <c r="P1241" s="215"/>
      <c r="Q1241" s="215"/>
      <c r="R1241" s="215"/>
      <c r="S1241" s="215"/>
      <c r="T1241" s="215"/>
      <c r="U1241" s="215"/>
      <c r="V1241" s="215"/>
      <c r="W1241" s="215"/>
      <c r="X1241" s="215"/>
      <c r="Y1241" s="215"/>
      <c r="Z1241" s="215"/>
      <c r="AA1241" s="215"/>
      <c r="AB1241" s="215"/>
      <c r="AC1241" s="215"/>
      <c r="AD1241" s="215"/>
      <c r="AE1241" s="215"/>
      <c r="AF1241" s="215"/>
      <c r="AG1241" s="215"/>
      <c r="AH1241" s="215"/>
    </row>
    <row r="1242" spans="15:34" ht="12">
      <c r="O1242" s="215"/>
      <c r="P1242" s="215"/>
      <c r="Q1242" s="215"/>
      <c r="R1242" s="215"/>
      <c r="S1242" s="215"/>
      <c r="T1242" s="215"/>
      <c r="U1242" s="215"/>
      <c r="V1242" s="215"/>
      <c r="W1242" s="215"/>
      <c r="X1242" s="215"/>
      <c r="Y1242" s="215"/>
      <c r="Z1242" s="215"/>
      <c r="AA1242" s="215"/>
      <c r="AB1242" s="215"/>
      <c r="AC1242" s="215"/>
      <c r="AD1242" s="215"/>
      <c r="AE1242" s="215"/>
      <c r="AF1242" s="215"/>
      <c r="AG1242" s="215"/>
      <c r="AH1242" s="215"/>
    </row>
    <row r="1243" spans="15:34" ht="12">
      <c r="O1243" s="215"/>
      <c r="P1243" s="215"/>
      <c r="Q1243" s="215"/>
      <c r="R1243" s="215"/>
      <c r="S1243" s="215"/>
      <c r="T1243" s="215"/>
      <c r="U1243" s="215"/>
      <c r="V1243" s="215"/>
      <c r="W1243" s="215"/>
      <c r="X1243" s="215"/>
      <c r="Y1243" s="215"/>
      <c r="Z1243" s="215"/>
      <c r="AA1243" s="215"/>
      <c r="AB1243" s="215"/>
      <c r="AC1243" s="215"/>
      <c r="AD1243" s="215"/>
      <c r="AE1243" s="215"/>
      <c r="AF1243" s="215"/>
      <c r="AG1243" s="215"/>
      <c r="AH1243" s="215"/>
    </row>
    <row r="1244" spans="15:34" ht="12">
      <c r="O1244" s="215"/>
      <c r="P1244" s="215"/>
      <c r="Q1244" s="215"/>
      <c r="R1244" s="215"/>
      <c r="S1244" s="215"/>
      <c r="T1244" s="215"/>
      <c r="U1244" s="215"/>
      <c r="V1244" s="215"/>
      <c r="W1244" s="215"/>
      <c r="X1244" s="215"/>
      <c r="Y1244" s="215"/>
      <c r="Z1244" s="215"/>
      <c r="AA1244" s="215"/>
      <c r="AB1244" s="215"/>
      <c r="AC1244" s="215"/>
      <c r="AD1244" s="215"/>
      <c r="AE1244" s="215"/>
      <c r="AF1244" s="215"/>
      <c r="AG1244" s="215"/>
      <c r="AH1244" s="215"/>
    </row>
    <row r="1245" spans="15:34" ht="12">
      <c r="O1245" s="215"/>
      <c r="P1245" s="215"/>
      <c r="Q1245" s="215"/>
      <c r="R1245" s="215"/>
      <c r="S1245" s="215"/>
      <c r="T1245" s="215"/>
      <c r="U1245" s="215"/>
      <c r="V1245" s="215"/>
      <c r="W1245" s="215"/>
      <c r="X1245" s="215"/>
      <c r="Y1245" s="215"/>
      <c r="Z1245" s="215"/>
      <c r="AA1245" s="215"/>
      <c r="AB1245" s="215"/>
      <c r="AC1245" s="215"/>
      <c r="AD1245" s="215"/>
      <c r="AE1245" s="215"/>
      <c r="AF1245" s="215"/>
      <c r="AG1245" s="215"/>
      <c r="AH1245" s="215"/>
    </row>
    <row r="1246" spans="15:34" ht="12">
      <c r="O1246" s="215"/>
      <c r="P1246" s="215"/>
      <c r="Q1246" s="215"/>
      <c r="R1246" s="215"/>
      <c r="S1246" s="215"/>
      <c r="T1246" s="215"/>
      <c r="U1246" s="215"/>
      <c r="V1246" s="215"/>
      <c r="W1246" s="215"/>
      <c r="X1246" s="215"/>
      <c r="Y1246" s="215"/>
      <c r="Z1246" s="215"/>
      <c r="AA1246" s="215"/>
      <c r="AB1246" s="215"/>
      <c r="AC1246" s="215"/>
      <c r="AD1246" s="215"/>
      <c r="AE1246" s="215"/>
      <c r="AF1246" s="215"/>
      <c r="AG1246" s="215"/>
      <c r="AH1246" s="215"/>
    </row>
    <row r="1247" spans="15:34" ht="12">
      <c r="O1247" s="215"/>
      <c r="P1247" s="215"/>
      <c r="Q1247" s="215"/>
      <c r="R1247" s="215"/>
      <c r="S1247" s="215"/>
      <c r="T1247" s="215"/>
      <c r="U1247" s="215"/>
      <c r="V1247" s="215"/>
      <c r="W1247" s="215"/>
      <c r="X1247" s="215"/>
      <c r="Y1247" s="215"/>
      <c r="Z1247" s="215"/>
      <c r="AA1247" s="215"/>
      <c r="AB1247" s="215"/>
      <c r="AC1247" s="215"/>
      <c r="AD1247" s="215"/>
      <c r="AE1247" s="215"/>
      <c r="AF1247" s="215"/>
      <c r="AG1247" s="215"/>
      <c r="AH1247" s="215"/>
    </row>
    <row r="1248" spans="15:34" ht="12">
      <c r="O1248" s="215"/>
      <c r="P1248" s="215"/>
      <c r="Q1248" s="215"/>
      <c r="R1248" s="215"/>
      <c r="S1248" s="215"/>
      <c r="T1248" s="215"/>
      <c r="U1248" s="215"/>
      <c r="V1248" s="215"/>
      <c r="W1248" s="215"/>
      <c r="X1248" s="215"/>
      <c r="Y1248" s="215"/>
      <c r="Z1248" s="215"/>
      <c r="AA1248" s="215"/>
      <c r="AB1248" s="215"/>
      <c r="AC1248" s="215"/>
      <c r="AD1248" s="215"/>
      <c r="AE1248" s="215"/>
      <c r="AF1248" s="215"/>
      <c r="AG1248" s="215"/>
      <c r="AH1248" s="215"/>
    </row>
    <row r="1249" spans="15:34" ht="12">
      <c r="O1249" s="215"/>
      <c r="P1249" s="215"/>
      <c r="Q1249" s="215"/>
      <c r="R1249" s="215"/>
      <c r="S1249" s="215"/>
      <c r="T1249" s="215"/>
      <c r="U1249" s="215"/>
      <c r="V1249" s="215"/>
      <c r="W1249" s="215"/>
      <c r="X1249" s="215"/>
      <c r="Y1249" s="215"/>
      <c r="Z1249" s="215"/>
      <c r="AA1249" s="215"/>
      <c r="AB1249" s="215"/>
      <c r="AC1249" s="215"/>
      <c r="AD1249" s="215"/>
      <c r="AE1249" s="215"/>
      <c r="AF1249" s="215"/>
      <c r="AG1249" s="215"/>
      <c r="AH1249" s="215"/>
    </row>
    <row r="1250" spans="15:34" ht="12">
      <c r="O1250" s="215"/>
      <c r="P1250" s="215"/>
      <c r="Q1250" s="215"/>
      <c r="R1250" s="215"/>
      <c r="S1250" s="215"/>
      <c r="T1250" s="215"/>
      <c r="U1250" s="215"/>
      <c r="V1250" s="215"/>
      <c r="W1250" s="215"/>
      <c r="X1250" s="215"/>
      <c r="Y1250" s="215"/>
      <c r="Z1250" s="215"/>
      <c r="AA1250" s="215"/>
      <c r="AB1250" s="215"/>
      <c r="AC1250" s="215"/>
      <c r="AD1250" s="215"/>
      <c r="AE1250" s="215"/>
      <c r="AF1250" s="215"/>
      <c r="AG1250" s="215"/>
      <c r="AH1250" s="215"/>
    </row>
    <row r="1251" spans="15:34" ht="12">
      <c r="O1251" s="215"/>
      <c r="P1251" s="215"/>
      <c r="Q1251" s="215"/>
      <c r="R1251" s="215"/>
      <c r="S1251" s="215"/>
      <c r="T1251" s="215"/>
      <c r="U1251" s="215"/>
      <c r="V1251" s="215"/>
      <c r="W1251" s="215"/>
      <c r="X1251" s="215"/>
      <c r="Y1251" s="215"/>
      <c r="Z1251" s="215"/>
      <c r="AA1251" s="215"/>
      <c r="AB1251" s="215"/>
      <c r="AC1251" s="215"/>
      <c r="AD1251" s="215"/>
      <c r="AE1251" s="215"/>
      <c r="AF1251" s="215"/>
      <c r="AG1251" s="215"/>
      <c r="AH1251" s="215"/>
    </row>
    <row r="1252" spans="15:34" ht="12">
      <c r="O1252" s="215"/>
      <c r="P1252" s="215"/>
      <c r="Q1252" s="215"/>
      <c r="R1252" s="215"/>
      <c r="S1252" s="215"/>
      <c r="T1252" s="215"/>
      <c r="U1252" s="215"/>
      <c r="V1252" s="215"/>
      <c r="W1252" s="215"/>
      <c r="X1252" s="215"/>
      <c r="Y1252" s="215"/>
      <c r="Z1252" s="215"/>
      <c r="AA1252" s="215"/>
      <c r="AB1252" s="215"/>
      <c r="AC1252" s="215"/>
      <c r="AD1252" s="215"/>
      <c r="AE1252" s="215"/>
      <c r="AF1252" s="215"/>
      <c r="AG1252" s="215"/>
      <c r="AH1252" s="215"/>
    </row>
    <row r="1253" spans="15:34" ht="12">
      <c r="O1253" s="215"/>
      <c r="P1253" s="215"/>
      <c r="Q1253" s="215"/>
      <c r="R1253" s="215"/>
      <c r="S1253" s="215"/>
      <c r="T1253" s="215"/>
      <c r="U1253" s="215"/>
      <c r="V1253" s="215"/>
      <c r="W1253" s="215"/>
      <c r="X1253" s="215"/>
      <c r="Y1253" s="215"/>
      <c r="Z1253" s="215"/>
      <c r="AA1253" s="215"/>
      <c r="AB1253" s="215"/>
      <c r="AC1253" s="215"/>
      <c r="AD1253" s="215"/>
      <c r="AE1253" s="215"/>
      <c r="AF1253" s="215"/>
      <c r="AG1253" s="215"/>
      <c r="AH1253" s="215"/>
    </row>
    <row r="1254" spans="15:34" ht="12">
      <c r="O1254" s="215"/>
      <c r="P1254" s="215"/>
      <c r="Q1254" s="215"/>
      <c r="R1254" s="215"/>
      <c r="S1254" s="215"/>
      <c r="T1254" s="215"/>
      <c r="U1254" s="215"/>
      <c r="V1254" s="215"/>
      <c r="W1254" s="215"/>
      <c r="X1254" s="215"/>
      <c r="Y1254" s="215"/>
      <c r="Z1254" s="215"/>
      <c r="AA1254" s="215"/>
      <c r="AB1254" s="215"/>
      <c r="AC1254" s="215"/>
      <c r="AD1254" s="215"/>
      <c r="AE1254" s="215"/>
      <c r="AF1254" s="215"/>
      <c r="AG1254" s="215"/>
      <c r="AH1254" s="215"/>
    </row>
    <row r="1255" spans="15:34" ht="12">
      <c r="O1255" s="215"/>
      <c r="P1255" s="215"/>
      <c r="Q1255" s="215"/>
      <c r="R1255" s="215"/>
      <c r="S1255" s="215"/>
      <c r="T1255" s="215"/>
      <c r="U1255" s="215"/>
      <c r="V1255" s="215"/>
      <c r="W1255" s="215"/>
      <c r="X1255" s="215"/>
      <c r="Y1255" s="215"/>
      <c r="Z1255" s="215"/>
      <c r="AA1255" s="215"/>
      <c r="AB1255" s="215"/>
      <c r="AC1255" s="215"/>
      <c r="AD1255" s="215"/>
      <c r="AE1255" s="215"/>
      <c r="AF1255" s="215"/>
      <c r="AG1255" s="215"/>
      <c r="AH1255" s="215"/>
    </row>
    <row r="1256" spans="15:34" ht="12">
      <c r="O1256" s="215"/>
      <c r="P1256" s="215"/>
      <c r="Q1256" s="215"/>
      <c r="R1256" s="215"/>
      <c r="S1256" s="215"/>
      <c r="T1256" s="215"/>
      <c r="U1256" s="215"/>
      <c r="V1256" s="215"/>
      <c r="W1256" s="215"/>
      <c r="X1256" s="215"/>
      <c r="Y1256" s="215"/>
      <c r="Z1256" s="215"/>
      <c r="AA1256" s="215"/>
      <c r="AB1256" s="215"/>
      <c r="AC1256" s="215"/>
      <c r="AD1256" s="215"/>
      <c r="AE1256" s="215"/>
      <c r="AF1256" s="215"/>
      <c r="AG1256" s="215"/>
      <c r="AH1256" s="215"/>
    </row>
    <row r="1257" spans="15:34" ht="12">
      <c r="O1257" s="215"/>
      <c r="P1257" s="215"/>
      <c r="Q1257" s="215"/>
      <c r="R1257" s="215"/>
      <c r="S1257" s="215"/>
      <c r="T1257" s="215"/>
      <c r="U1257" s="215"/>
      <c r="V1257" s="215"/>
      <c r="W1257" s="215"/>
      <c r="X1257" s="215"/>
      <c r="Y1257" s="215"/>
      <c r="Z1257" s="215"/>
      <c r="AA1257" s="215"/>
      <c r="AB1257" s="215"/>
      <c r="AC1257" s="215"/>
      <c r="AD1257" s="215"/>
      <c r="AE1257" s="215"/>
      <c r="AF1257" s="215"/>
      <c r="AG1257" s="215"/>
      <c r="AH1257" s="215"/>
    </row>
    <row r="1258" spans="15:34" ht="12">
      <c r="O1258" s="215"/>
      <c r="P1258" s="215"/>
      <c r="Q1258" s="215"/>
      <c r="R1258" s="215"/>
      <c r="S1258" s="215"/>
      <c r="T1258" s="215"/>
      <c r="U1258" s="215"/>
      <c r="V1258" s="215"/>
      <c r="W1258" s="215"/>
      <c r="X1258" s="215"/>
      <c r="Y1258" s="215"/>
      <c r="Z1258" s="215"/>
      <c r="AA1258" s="215"/>
      <c r="AB1258" s="215"/>
      <c r="AC1258" s="215"/>
      <c r="AD1258" s="215"/>
      <c r="AE1258" s="215"/>
      <c r="AF1258" s="215"/>
      <c r="AG1258" s="215"/>
      <c r="AH1258" s="215"/>
    </row>
    <row r="1259" spans="15:34" ht="12">
      <c r="O1259" s="215"/>
      <c r="P1259" s="215"/>
      <c r="Q1259" s="215"/>
      <c r="R1259" s="215"/>
      <c r="S1259" s="215"/>
      <c r="T1259" s="215"/>
      <c r="U1259" s="215"/>
      <c r="V1259" s="215"/>
      <c r="W1259" s="215"/>
      <c r="X1259" s="215"/>
      <c r="Y1259" s="215"/>
      <c r="Z1259" s="215"/>
      <c r="AA1259" s="215"/>
      <c r="AB1259" s="215"/>
      <c r="AC1259" s="215"/>
      <c r="AD1259" s="215"/>
      <c r="AE1259" s="215"/>
      <c r="AF1259" s="215"/>
      <c r="AG1259" s="215"/>
      <c r="AH1259" s="215"/>
    </row>
    <row r="1260" spans="15:34" ht="12">
      <c r="O1260" s="215"/>
      <c r="P1260" s="215"/>
      <c r="Q1260" s="215"/>
      <c r="R1260" s="215"/>
      <c r="S1260" s="215"/>
      <c r="T1260" s="215"/>
      <c r="U1260" s="215"/>
      <c r="V1260" s="215"/>
      <c r="W1260" s="215"/>
      <c r="X1260" s="215"/>
      <c r="Y1260" s="215"/>
      <c r="Z1260" s="215"/>
      <c r="AA1260" s="215"/>
      <c r="AB1260" s="215"/>
      <c r="AC1260" s="215"/>
      <c r="AD1260" s="215"/>
      <c r="AE1260" s="215"/>
      <c r="AF1260" s="215"/>
      <c r="AG1260" s="215"/>
      <c r="AH1260" s="215"/>
    </row>
    <row r="1261" spans="15:34" ht="12">
      <c r="O1261" s="215"/>
      <c r="P1261" s="215"/>
      <c r="Q1261" s="215"/>
      <c r="R1261" s="215"/>
      <c r="S1261" s="215"/>
      <c r="T1261" s="215"/>
      <c r="U1261" s="215"/>
      <c r="V1261" s="215"/>
      <c r="W1261" s="215"/>
      <c r="X1261" s="215"/>
      <c r="Y1261" s="215"/>
      <c r="Z1261" s="215"/>
      <c r="AA1261" s="215"/>
      <c r="AB1261" s="215"/>
      <c r="AC1261" s="215"/>
      <c r="AD1261" s="215"/>
      <c r="AE1261" s="215"/>
      <c r="AF1261" s="215"/>
      <c r="AG1261" s="215"/>
      <c r="AH1261" s="215"/>
    </row>
    <row r="1262" spans="15:34" ht="12">
      <c r="O1262" s="215"/>
      <c r="P1262" s="215"/>
      <c r="Q1262" s="215"/>
      <c r="R1262" s="215"/>
      <c r="S1262" s="215"/>
      <c r="T1262" s="215"/>
      <c r="U1262" s="215"/>
      <c r="V1262" s="215"/>
      <c r="W1262" s="215"/>
      <c r="X1262" s="215"/>
      <c r="Y1262" s="215"/>
      <c r="Z1262" s="215"/>
      <c r="AA1262" s="215"/>
      <c r="AB1262" s="215"/>
      <c r="AC1262" s="215"/>
      <c r="AD1262" s="215"/>
      <c r="AE1262" s="215"/>
      <c r="AF1262" s="215"/>
      <c r="AG1262" s="215"/>
      <c r="AH1262" s="215"/>
    </row>
    <row r="1263" spans="15:34" ht="12">
      <c r="O1263" s="215"/>
      <c r="P1263" s="215"/>
      <c r="Q1263" s="215"/>
      <c r="R1263" s="215"/>
      <c r="S1263" s="215"/>
      <c r="T1263" s="215"/>
      <c r="U1263" s="215"/>
      <c r="V1263" s="215"/>
      <c r="W1263" s="215"/>
      <c r="X1263" s="215"/>
      <c r="Y1263" s="215"/>
      <c r="Z1263" s="215"/>
      <c r="AA1263" s="215"/>
      <c r="AB1263" s="215"/>
      <c r="AC1263" s="215"/>
      <c r="AD1263" s="215"/>
      <c r="AE1263" s="215"/>
      <c r="AF1263" s="215"/>
      <c r="AG1263" s="215"/>
      <c r="AH1263" s="215"/>
    </row>
    <row r="1264" spans="15:34" ht="12">
      <c r="O1264" s="215"/>
      <c r="P1264" s="215"/>
      <c r="Q1264" s="215"/>
      <c r="R1264" s="215"/>
      <c r="S1264" s="215"/>
      <c r="T1264" s="215"/>
      <c r="U1264" s="215"/>
      <c r="V1264" s="215"/>
      <c r="W1264" s="215"/>
      <c r="X1264" s="215"/>
      <c r="Y1264" s="215"/>
      <c r="Z1264" s="215"/>
      <c r="AA1264" s="215"/>
      <c r="AB1264" s="215"/>
      <c r="AC1264" s="215"/>
      <c r="AD1264" s="215"/>
      <c r="AE1264" s="215"/>
      <c r="AF1264" s="215"/>
      <c r="AG1264" s="215"/>
      <c r="AH1264" s="215"/>
    </row>
    <row r="1265" spans="15:34" ht="12">
      <c r="O1265" s="215"/>
      <c r="P1265" s="215"/>
      <c r="Q1265" s="215"/>
      <c r="R1265" s="215"/>
      <c r="S1265" s="215"/>
      <c r="T1265" s="215"/>
      <c r="U1265" s="215"/>
      <c r="V1265" s="215"/>
      <c r="W1265" s="215"/>
      <c r="X1265" s="215"/>
      <c r="Y1265" s="215"/>
      <c r="Z1265" s="215"/>
      <c r="AA1265" s="215"/>
      <c r="AB1265" s="215"/>
      <c r="AC1265" s="215"/>
      <c r="AD1265" s="215"/>
      <c r="AE1265" s="215"/>
      <c r="AF1265" s="215"/>
      <c r="AG1265" s="215"/>
      <c r="AH1265" s="215"/>
    </row>
    <row r="1266" spans="15:34" ht="12">
      <c r="O1266" s="215"/>
      <c r="P1266" s="215"/>
      <c r="Q1266" s="215"/>
      <c r="R1266" s="215"/>
      <c r="S1266" s="215"/>
      <c r="T1266" s="215"/>
      <c r="U1266" s="215"/>
      <c r="V1266" s="215"/>
      <c r="W1266" s="215"/>
      <c r="X1266" s="215"/>
      <c r="Y1266" s="215"/>
      <c r="Z1266" s="215"/>
      <c r="AA1266" s="215"/>
      <c r="AB1266" s="215"/>
      <c r="AC1266" s="215"/>
      <c r="AD1266" s="215"/>
      <c r="AE1266" s="215"/>
      <c r="AF1266" s="215"/>
      <c r="AG1266" s="215"/>
      <c r="AH1266" s="215"/>
    </row>
    <row r="1267" spans="15:34" ht="12">
      <c r="O1267" s="215"/>
      <c r="P1267" s="215"/>
      <c r="Q1267" s="215"/>
      <c r="R1267" s="215"/>
      <c r="S1267" s="215"/>
      <c r="T1267" s="215"/>
      <c r="U1267" s="215"/>
      <c r="V1267" s="215"/>
      <c r="W1267" s="215"/>
      <c r="X1267" s="215"/>
      <c r="Y1267" s="215"/>
      <c r="Z1267" s="215"/>
      <c r="AA1267" s="215"/>
      <c r="AB1267" s="215"/>
      <c r="AC1267" s="215"/>
      <c r="AD1267" s="215"/>
      <c r="AE1267" s="215"/>
      <c r="AF1267" s="215"/>
      <c r="AG1267" s="215"/>
      <c r="AH1267" s="215"/>
    </row>
    <row r="1268" spans="15:34" ht="12">
      <c r="O1268" s="215"/>
      <c r="P1268" s="215"/>
      <c r="Q1268" s="215"/>
      <c r="R1268" s="215"/>
      <c r="S1268" s="215"/>
      <c r="T1268" s="215"/>
      <c r="U1268" s="215"/>
      <c r="V1268" s="215"/>
      <c r="W1268" s="215"/>
      <c r="X1268" s="215"/>
      <c r="Y1268" s="215"/>
      <c r="Z1268" s="215"/>
      <c r="AA1268" s="215"/>
      <c r="AB1268" s="215"/>
      <c r="AC1268" s="215"/>
      <c r="AD1268" s="215"/>
      <c r="AE1268" s="215"/>
      <c r="AF1268" s="215"/>
      <c r="AG1268" s="215"/>
      <c r="AH1268" s="215"/>
    </row>
    <row r="1269" spans="15:34" ht="12">
      <c r="O1269" s="215"/>
      <c r="P1269" s="215"/>
      <c r="Q1269" s="215"/>
      <c r="R1269" s="215"/>
      <c r="S1269" s="215"/>
      <c r="T1269" s="215"/>
      <c r="U1269" s="215"/>
      <c r="V1269" s="215"/>
      <c r="W1269" s="215"/>
      <c r="X1269" s="215"/>
      <c r="Y1269" s="215"/>
      <c r="Z1269" s="215"/>
      <c r="AA1269" s="215"/>
      <c r="AB1269" s="215"/>
      <c r="AC1269" s="215"/>
      <c r="AD1269" s="215"/>
      <c r="AE1269" s="215"/>
      <c r="AF1269" s="215"/>
      <c r="AG1269" s="215"/>
      <c r="AH1269" s="215"/>
    </row>
    <row r="1270" spans="15:34" ht="12">
      <c r="O1270" s="215"/>
      <c r="P1270" s="215"/>
      <c r="Q1270" s="215"/>
      <c r="R1270" s="215"/>
      <c r="S1270" s="215"/>
      <c r="T1270" s="215"/>
      <c r="U1270" s="215"/>
      <c r="V1270" s="215"/>
      <c r="W1270" s="215"/>
      <c r="X1270" s="215"/>
      <c r="Y1270" s="215"/>
      <c r="Z1270" s="215"/>
      <c r="AA1270" s="215"/>
      <c r="AB1270" s="215"/>
      <c r="AC1270" s="215"/>
      <c r="AD1270" s="215"/>
      <c r="AE1270" s="215"/>
      <c r="AF1270" s="215"/>
      <c r="AG1270" s="215"/>
      <c r="AH1270" s="215"/>
    </row>
    <row r="1271" spans="15:34" ht="12">
      <c r="O1271" s="215"/>
      <c r="P1271" s="215"/>
      <c r="Q1271" s="215"/>
      <c r="R1271" s="215"/>
      <c r="S1271" s="215"/>
      <c r="T1271" s="215"/>
      <c r="U1271" s="215"/>
      <c r="V1271" s="215"/>
      <c r="W1271" s="215"/>
      <c r="X1271" s="215"/>
      <c r="Y1271" s="215"/>
      <c r="Z1271" s="215"/>
      <c r="AA1271" s="215"/>
      <c r="AB1271" s="215"/>
      <c r="AC1271" s="215"/>
      <c r="AD1271" s="215"/>
      <c r="AE1271" s="215"/>
      <c r="AF1271" s="215"/>
      <c r="AG1271" s="215"/>
      <c r="AH1271" s="215"/>
    </row>
    <row r="1272" spans="15:34" ht="12">
      <c r="O1272" s="215"/>
      <c r="P1272" s="215"/>
      <c r="Q1272" s="215"/>
      <c r="R1272" s="215"/>
      <c r="S1272" s="215"/>
      <c r="T1272" s="215"/>
      <c r="U1272" s="215"/>
      <c r="V1272" s="215"/>
      <c r="W1272" s="215"/>
      <c r="X1272" s="215"/>
      <c r="Y1272" s="215"/>
      <c r="Z1272" s="215"/>
      <c r="AA1272" s="215"/>
      <c r="AB1272" s="215"/>
      <c r="AC1272" s="215"/>
      <c r="AD1272" s="215"/>
      <c r="AE1272" s="215"/>
      <c r="AF1272" s="215"/>
      <c r="AG1272" s="215"/>
      <c r="AH1272" s="215"/>
    </row>
    <row r="1273" spans="15:34" ht="12">
      <c r="O1273" s="215"/>
      <c r="P1273" s="215"/>
      <c r="Q1273" s="215"/>
      <c r="R1273" s="215"/>
      <c r="S1273" s="215"/>
      <c r="T1273" s="215"/>
      <c r="U1273" s="215"/>
      <c r="V1273" s="215"/>
      <c r="W1273" s="215"/>
      <c r="X1273" s="215"/>
      <c r="Y1273" s="215"/>
      <c r="Z1273" s="215"/>
      <c r="AA1273" s="215"/>
      <c r="AB1273" s="215"/>
      <c r="AC1273" s="215"/>
      <c r="AD1273" s="215"/>
      <c r="AE1273" s="215"/>
      <c r="AF1273" s="215"/>
      <c r="AG1273" s="215"/>
      <c r="AH1273" s="215"/>
    </row>
    <row r="1274" spans="15:34" ht="12">
      <c r="O1274" s="215"/>
      <c r="P1274" s="215"/>
      <c r="Q1274" s="215"/>
      <c r="R1274" s="215"/>
      <c r="S1274" s="215"/>
      <c r="T1274" s="215"/>
      <c r="U1274" s="215"/>
      <c r="V1274" s="215"/>
      <c r="W1274" s="215"/>
      <c r="X1274" s="215"/>
      <c r="Y1274" s="215"/>
      <c r="Z1274" s="215"/>
      <c r="AA1274" s="215"/>
      <c r="AB1274" s="215"/>
      <c r="AC1274" s="215"/>
      <c r="AD1274" s="215"/>
      <c r="AE1274" s="215"/>
      <c r="AF1274" s="215"/>
      <c r="AG1274" s="215"/>
      <c r="AH1274" s="215"/>
    </row>
    <row r="1275" spans="15:34" ht="12">
      <c r="O1275" s="215"/>
      <c r="P1275" s="215"/>
      <c r="Q1275" s="215"/>
      <c r="R1275" s="215"/>
      <c r="S1275" s="215"/>
      <c r="T1275" s="215"/>
      <c r="U1275" s="215"/>
      <c r="V1275" s="215"/>
      <c r="W1275" s="215"/>
      <c r="X1275" s="215"/>
      <c r="Y1275" s="215"/>
      <c r="Z1275" s="215"/>
      <c r="AA1275" s="215"/>
      <c r="AB1275" s="215"/>
      <c r="AC1275" s="215"/>
      <c r="AD1275" s="215"/>
      <c r="AE1275" s="215"/>
      <c r="AF1275" s="215"/>
      <c r="AG1275" s="215"/>
      <c r="AH1275" s="215"/>
    </row>
    <row r="1276" spans="15:34" ht="12">
      <c r="O1276" s="215"/>
      <c r="P1276" s="215"/>
      <c r="Q1276" s="215"/>
      <c r="R1276" s="215"/>
      <c r="S1276" s="215"/>
      <c r="T1276" s="215"/>
      <c r="U1276" s="215"/>
      <c r="V1276" s="215"/>
      <c r="W1276" s="215"/>
      <c r="X1276" s="215"/>
      <c r="Y1276" s="215"/>
      <c r="Z1276" s="215"/>
      <c r="AA1276" s="215"/>
      <c r="AB1276" s="215"/>
      <c r="AC1276" s="215"/>
      <c r="AD1276" s="215"/>
      <c r="AE1276" s="215"/>
      <c r="AF1276" s="215"/>
      <c r="AG1276" s="215"/>
      <c r="AH1276" s="215"/>
    </row>
    <row r="1277" spans="15:34" ht="12">
      <c r="O1277" s="215"/>
      <c r="P1277" s="215"/>
      <c r="Q1277" s="215"/>
      <c r="R1277" s="215"/>
      <c r="S1277" s="215"/>
      <c r="T1277" s="215"/>
      <c r="U1277" s="215"/>
      <c r="V1277" s="215"/>
      <c r="W1277" s="215"/>
      <c r="X1277" s="215"/>
      <c r="Y1277" s="215"/>
      <c r="Z1277" s="215"/>
      <c r="AA1277" s="215"/>
      <c r="AB1277" s="215"/>
      <c r="AC1277" s="215"/>
      <c r="AD1277" s="215"/>
      <c r="AE1277" s="215"/>
      <c r="AF1277" s="215"/>
      <c r="AG1277" s="215"/>
      <c r="AH1277" s="215"/>
    </row>
  </sheetData>
  <sheetProtection password="CAD7" sheet="1" objects="1" scenarios="1" formatCells="0" formatColumns="0" formatRows="0"/>
  <mergeCells count="14">
    <mergeCell ref="B2:R2"/>
    <mergeCell ref="D4:D14"/>
    <mergeCell ref="I41:M41"/>
    <mergeCell ref="I42:M42"/>
    <mergeCell ref="C16:C30"/>
    <mergeCell ref="C32:C48"/>
    <mergeCell ref="I46:M46"/>
    <mergeCell ref="I43:M43"/>
    <mergeCell ref="F4:G4"/>
    <mergeCell ref="C51:C54"/>
    <mergeCell ref="D54:E54"/>
    <mergeCell ref="D53:E53"/>
    <mergeCell ref="D52:E52"/>
    <mergeCell ref="D51:E51"/>
  </mergeCells>
  <conditionalFormatting sqref="J9:J38">
    <cfRule type="expression" priority="1" dxfId="0" stopIfTrue="1">
      <formula>IF(AND($F$6=1,I9&lt;&gt;0),TRUE,FALSE)</formula>
    </cfRule>
  </conditionalFormatting>
  <conditionalFormatting sqref="K9:K38">
    <cfRule type="expression" priority="2" dxfId="0" stopIfTrue="1">
      <formula>IF(I9&lt;&gt;0,TRUE,FALSE)</formula>
    </cfRule>
  </conditionalFormatting>
  <conditionalFormatting sqref="L9:M38">
    <cfRule type="expression" priority="3" dxfId="1" stopIfTrue="1">
      <formula>IF(I9=0,TRUE,FALSE)</formula>
    </cfRule>
  </conditionalFormatting>
  <conditionalFormatting sqref="D59:D88">
    <cfRule type="expression" priority="4" dxfId="15" stopIfTrue="1">
      <formula>IF(C59&lt;&gt;0,TRUE,FALSE)</formula>
    </cfRule>
  </conditionalFormatting>
  <conditionalFormatting sqref="F58:F88 I8:I38 C58:C88 P52:P54 F51:F54 O58:P88 P33 G46:H47 G43:H43 F37:F48 F20:F30 G26:H26 G28:H29 Q21:Q22 F14 P13:P15 P24:Q24 P7:P9 P11 P19:P22 P26:P29 Q26:Q27 F12 E59:E88 D49 D55">
    <cfRule type="cellIs" priority="5" dxfId="1" operator="equal" stopIfTrue="1">
      <formula>0</formula>
    </cfRule>
  </conditionalFormatting>
  <conditionalFormatting sqref="Q6:Q9 Q11 G36:H37 G39:H42 G18:H19 Q19:Q20 Q28 Q13:Q15 G30:H30 G48:H48 G51:H54 Q52:Q54 G58:G88 Q58:Q88 Q44">
    <cfRule type="cellIs" priority="6" dxfId="5" operator="equal" stopIfTrue="1">
      <formula>0</formula>
    </cfRule>
  </conditionalFormatting>
  <conditionalFormatting sqref="P25 P12:Q12">
    <cfRule type="cellIs" priority="7" dxfId="3" operator="equal" stopIfTrue="1">
      <formula>0</formula>
    </cfRule>
  </conditionalFormatting>
  <conditionalFormatting sqref="F13">
    <cfRule type="expression" priority="8" dxfId="1" stopIfTrue="1">
      <formula>$F$10=0</formula>
    </cfRule>
  </conditionalFormatting>
  <conditionalFormatting sqref="L8">
    <cfRule type="cellIs" priority="9" dxfId="1" operator="lessThan" stopIfTrue="1">
      <formula>0.000001</formula>
    </cfRule>
  </conditionalFormatting>
  <conditionalFormatting sqref="D57 E34">
    <cfRule type="expression" priority="10" dxfId="2" stopIfTrue="1">
      <formula>IF(#REF!=1,TRUE,FALSE)</formula>
    </cfRule>
  </conditionalFormatting>
  <printOptions horizontalCentered="1" verticalCentered="1"/>
  <pageMargins left="0.393700787401575" right="0.393700787401575" top="0.984251968503937" bottom="0.984251968503937" header="0.511811023622047" footer="0.511811023622047"/>
  <pageSetup fitToHeight="1" fitToWidth="1" horizontalDpi="360" verticalDpi="360" orientation="landscape" paperSize="9" scale="67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B2:V124"/>
  <sheetViews>
    <sheetView showGridLines="0" zoomScale="85" zoomScaleNormal="85" zoomScalePageLayoutView="0" workbookViewId="0" topLeftCell="A1">
      <selection activeCell="F4" sqref="F4:G4"/>
    </sheetView>
  </sheetViews>
  <sheetFormatPr defaultColWidth="9.140625" defaultRowHeight="12.75"/>
  <cols>
    <col min="1" max="1" width="2.421875" style="15" customWidth="1"/>
    <col min="2" max="2" width="2.7109375" style="15" bestFit="1" customWidth="1"/>
    <col min="3" max="3" width="12.140625" style="15" customWidth="1"/>
    <col min="4" max="4" width="11.00390625" style="15" customWidth="1"/>
    <col min="5" max="5" width="22.7109375" style="15" bestFit="1" customWidth="1"/>
    <col min="6" max="6" width="13.8515625" style="15" bestFit="1" customWidth="1"/>
    <col min="7" max="7" width="9.7109375" style="15" customWidth="1"/>
    <col min="8" max="8" width="8.421875" style="15" customWidth="1"/>
    <col min="9" max="9" width="8.8515625" style="15" customWidth="1"/>
    <col min="10" max="11" width="1.7109375" style="15" customWidth="1"/>
    <col min="12" max="12" width="29.28125" style="15" bestFit="1" customWidth="1"/>
    <col min="13" max="13" width="11.28125" style="15" customWidth="1"/>
    <col min="14" max="14" width="9.7109375" style="15" customWidth="1"/>
    <col min="15" max="16" width="1.7109375" style="15" customWidth="1"/>
    <col min="17" max="17" width="9.421875" style="15" bestFit="1" customWidth="1"/>
    <col min="18" max="18" width="11.421875" style="15" bestFit="1" customWidth="1"/>
    <col min="19" max="19" width="22.140625" style="15" bestFit="1" customWidth="1"/>
    <col min="20" max="16384" width="9.140625" style="15" customWidth="1"/>
  </cols>
  <sheetData>
    <row r="1" ht="12" thickBot="1"/>
    <row r="2" spans="2:17" ht="14.25" thickBot="1" thickTop="1">
      <c r="B2" s="450" t="s">
        <v>99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2"/>
      <c r="Q2" s="147" t="s">
        <v>103</v>
      </c>
    </row>
    <row r="3" spans="2:17" ht="8.25" customHeight="1" thickTop="1">
      <c r="B3" s="12"/>
      <c r="C3" s="13"/>
      <c r="D3" s="13"/>
      <c r="E3" s="13"/>
      <c r="F3" s="13"/>
      <c r="G3" s="13"/>
      <c r="H3" s="13"/>
      <c r="I3" s="13"/>
      <c r="J3" s="13"/>
      <c r="K3" s="75"/>
      <c r="L3" s="13"/>
      <c r="M3" s="13"/>
      <c r="N3" s="13"/>
      <c r="O3" s="14"/>
      <c r="P3" s="20"/>
      <c r="Q3" s="147" t="s">
        <v>104</v>
      </c>
    </row>
    <row r="4" spans="2:16" ht="12" customHeight="1" thickBot="1">
      <c r="B4" s="16"/>
      <c r="C4" s="17"/>
      <c r="D4" s="447" t="s">
        <v>26</v>
      </c>
      <c r="E4" s="110" t="s">
        <v>139</v>
      </c>
      <c r="F4" s="465"/>
      <c r="G4" s="466"/>
      <c r="H4" s="493" t="s">
        <v>127</v>
      </c>
      <c r="I4" s="494"/>
      <c r="J4" s="20"/>
      <c r="K4" s="39"/>
      <c r="L4" s="328"/>
      <c r="O4" s="21"/>
      <c r="P4" s="20"/>
    </row>
    <row r="5" spans="2:17" ht="12" customHeight="1" thickTop="1">
      <c r="B5" s="16"/>
      <c r="C5" s="17"/>
      <c r="D5" s="445"/>
      <c r="E5" s="110" t="s">
        <v>36</v>
      </c>
      <c r="F5" s="5"/>
      <c r="G5" s="20"/>
      <c r="H5" s="495" t="s">
        <v>128</v>
      </c>
      <c r="I5" s="496"/>
      <c r="J5" s="20"/>
      <c r="K5" s="39"/>
      <c r="L5" s="459" t="s">
        <v>19</v>
      </c>
      <c r="M5" s="460"/>
      <c r="N5" s="461"/>
      <c r="O5" s="21"/>
      <c r="P5" s="20"/>
      <c r="Q5" s="147" t="s">
        <v>95</v>
      </c>
    </row>
    <row r="6" spans="2:17" ht="12.75">
      <c r="B6" s="16"/>
      <c r="C6" s="17"/>
      <c r="D6" s="445"/>
      <c r="E6" s="110" t="s">
        <v>67</v>
      </c>
      <c r="F6" s="4"/>
      <c r="G6" s="20"/>
      <c r="H6" s="497" t="s">
        <v>129</v>
      </c>
      <c r="I6" s="498"/>
      <c r="J6" s="20"/>
      <c r="K6" s="39"/>
      <c r="L6" s="462" t="s">
        <v>20</v>
      </c>
      <c r="M6" s="463"/>
      <c r="N6" s="464"/>
      <c r="O6" s="21"/>
      <c r="P6" s="20"/>
      <c r="Q6" s="147" t="s">
        <v>96</v>
      </c>
    </row>
    <row r="7" spans="2:17" ht="12" customHeight="1">
      <c r="B7" s="16"/>
      <c r="C7" s="17"/>
      <c r="D7" s="445"/>
      <c r="E7" s="110" t="s">
        <v>68</v>
      </c>
      <c r="F7" s="116"/>
      <c r="G7" s="20"/>
      <c r="H7" s="260">
        <f>F6</f>
        <v>0</v>
      </c>
      <c r="I7" s="18"/>
      <c r="J7" s="20"/>
      <c r="K7" s="39"/>
      <c r="L7" s="453" t="str">
        <f>IF(F5="","Scrivere il codice Isin nella cella F5",HYPERLINK(Q8,"Vai al Regolamento del Titolo"))</f>
        <v>Scrivere il codice Isin nella cella F5</v>
      </c>
      <c r="M7" s="454"/>
      <c r="N7" s="455"/>
      <c r="O7" s="21"/>
      <c r="P7" s="20"/>
      <c r="Q7" s="147" t="s">
        <v>116</v>
      </c>
    </row>
    <row r="8" spans="2:17" ht="12" customHeight="1" thickBot="1">
      <c r="B8" s="16"/>
      <c r="C8" s="20"/>
      <c r="D8" s="445"/>
      <c r="E8" s="110" t="s">
        <v>46</v>
      </c>
      <c r="F8" s="4"/>
      <c r="G8" s="20"/>
      <c r="H8" s="260">
        <f>IF($F$8=0,0,IF(H7=0,0,IF(EDATE(H7,12/$F$10)&lt;=$F$8,EDATE(DATE(YEAR(H7),MONTH(F8),DAY(F8)),12/$F$10),0)))</f>
        <v>0</v>
      </c>
      <c r="I8" s="259"/>
      <c r="J8" s="20"/>
      <c r="K8" s="39"/>
      <c r="L8" s="456"/>
      <c r="M8" s="457"/>
      <c r="N8" s="458"/>
      <c r="O8" s="21"/>
      <c r="P8" s="20"/>
      <c r="Q8" s="147" t="str">
        <f>CONCATENATE(Q7,F5,"&amp;market=MOT&amp;lang=it")</f>
        <v>http://www.borsaitaliana.it/bitApp/caratteristiche.bit?target=Download&amp;isin=&amp;market=MOT&amp;lang=it</v>
      </c>
    </row>
    <row r="9" spans="2:17" ht="12" customHeight="1" thickTop="1">
      <c r="B9" s="16"/>
      <c r="C9" s="23"/>
      <c r="D9" s="445"/>
      <c r="E9" s="187" t="s">
        <v>12</v>
      </c>
      <c r="F9" s="116"/>
      <c r="G9" s="23"/>
      <c r="H9" s="260">
        <f>IF($F$8=0,0,IF(H8=0,0,IF(EDATE(H8,12/$F$10)&lt;=$F$8,EDATE(H8,12/$F$10),0)))</f>
        <v>0</v>
      </c>
      <c r="I9" s="259"/>
      <c r="J9" s="20"/>
      <c r="K9" s="39"/>
      <c r="L9" s="16"/>
      <c r="M9" s="20"/>
      <c r="N9" s="21"/>
      <c r="O9" s="21"/>
      <c r="P9" s="20"/>
      <c r="Q9" s="147"/>
    </row>
    <row r="10" spans="2:17" ht="12" customHeight="1">
      <c r="B10" s="16"/>
      <c r="C10" s="23"/>
      <c r="D10" s="445"/>
      <c r="E10" s="187" t="s">
        <v>111</v>
      </c>
      <c r="F10" s="11">
        <v>1</v>
      </c>
      <c r="G10" s="23"/>
      <c r="H10" s="260">
        <f>IF($F$8=0,0,IF(H9=0,0,IF(EDATE(H9,12/$F$10)&lt;=$F$8,EDATE(H9,12/$F$10),0)))</f>
        <v>0</v>
      </c>
      <c r="I10" s="259"/>
      <c r="J10" s="20"/>
      <c r="K10" s="39"/>
      <c r="L10" s="453" t="str">
        <f>IF(F5="","Scrivere il Codice Isin nella Cella F5",HYPERLINK(Q11,"Vai al Display del Titolo con la sua quotazione"))</f>
        <v>Scrivere il Codice Isin nella Cella F5</v>
      </c>
      <c r="M10" s="454"/>
      <c r="N10" s="455"/>
      <c r="O10" s="21"/>
      <c r="P10" s="20"/>
      <c r="Q10" s="147" t="s">
        <v>97</v>
      </c>
    </row>
    <row r="11" spans="2:22" ht="12" customHeight="1" thickBot="1">
      <c r="B11" s="16"/>
      <c r="C11" s="337" t="s">
        <v>90</v>
      </c>
      <c r="D11" s="445"/>
      <c r="E11" s="187" t="s">
        <v>119</v>
      </c>
      <c r="F11" s="6"/>
      <c r="G11" s="23"/>
      <c r="H11" s="260">
        <f>IF($F$8=0,0,IF(H10=0,0,IF(EDATE(H10,12/$F$10)&lt;=$F$8,EDATE(H10,12/$F$10),0)))</f>
        <v>0</v>
      </c>
      <c r="I11" s="259"/>
      <c r="J11" s="20"/>
      <c r="K11" s="39"/>
      <c r="L11" s="456"/>
      <c r="M11" s="457"/>
      <c r="N11" s="458"/>
      <c r="O11" s="21"/>
      <c r="P11" s="20"/>
      <c r="Q11" s="147" t="str">
        <f>CONCATENATE(Q10,F5,"&amp;market=MOT&amp;lang=it")</f>
        <v>http://www.borsaitaliana.it/borsa/quotazioni/obbligazioni/obbligazioni-in-euro/dati-completi.html?isin=&amp;market=MOT&amp;lang=it</v>
      </c>
      <c r="R11" s="20"/>
      <c r="S11" s="20"/>
      <c r="T11" s="20"/>
      <c r="U11" s="20"/>
      <c r="V11" s="20"/>
    </row>
    <row r="12" spans="2:22" ht="12" customHeight="1" thickTop="1">
      <c r="B12" s="16"/>
      <c r="C12" s="330">
        <v>0.125</v>
      </c>
      <c r="D12" s="445"/>
      <c r="E12" s="187" t="s">
        <v>76</v>
      </c>
      <c r="F12" s="137">
        <f>IF(F9=0,0,(F9-F7))</f>
        <v>0</v>
      </c>
      <c r="G12" s="23"/>
      <c r="H12" s="260">
        <f>IF($F$8=0,0,IF(H11=0,0,IF(EDATE(H11,12/$F$10)&lt;=$F$8,EDATE(H11,12/$F$10),0)))</f>
        <v>0</v>
      </c>
      <c r="I12" s="259"/>
      <c r="J12" s="20"/>
      <c r="K12" s="39"/>
      <c r="L12" s="20"/>
      <c r="M12" s="20"/>
      <c r="N12" s="20"/>
      <c r="O12" s="21"/>
      <c r="P12" s="20"/>
      <c r="R12" s="20"/>
      <c r="S12" s="20"/>
      <c r="T12" s="20"/>
      <c r="U12" s="20"/>
      <c r="V12" s="20"/>
    </row>
    <row r="13" spans="2:22" ht="12" customHeight="1">
      <c r="B13" s="16"/>
      <c r="C13" s="23"/>
      <c r="D13" s="445"/>
      <c r="E13" s="117" t="s">
        <v>34</v>
      </c>
      <c r="F13" s="125">
        <f>IF(OR(F6=0,F8=0),100,IF(F9&gt;F7,F9-C12*F12,F9))</f>
        <v>100</v>
      </c>
      <c r="G13" s="23"/>
      <c r="H13" s="260">
        <f>IF($F$8=0,0,IF(H12=0,0,IF(EDATE(H12,12/$F$10)&lt;=$F$8,EDATE(H12,12/$F$10),0)))</f>
        <v>0</v>
      </c>
      <c r="I13" s="259"/>
      <c r="J13" s="20"/>
      <c r="K13" s="39"/>
      <c r="O13" s="21"/>
      <c r="P13" s="20"/>
      <c r="R13" s="20"/>
      <c r="S13" s="20"/>
      <c r="T13" s="20"/>
      <c r="U13" s="20"/>
      <c r="V13" s="20"/>
    </row>
    <row r="14" spans="2:22" ht="10.5" customHeight="1">
      <c r="B14" s="16"/>
      <c r="C14" s="201"/>
      <c r="D14" s="445"/>
      <c r="E14" s="52" t="s">
        <v>37</v>
      </c>
      <c r="F14" s="52">
        <f>IF(OR(F6=0,F8=0),0,YEARFRAC(F8,F6,0))</f>
        <v>0</v>
      </c>
      <c r="G14" s="23"/>
      <c r="H14" s="260">
        <f>IF($F$8=0,0,IF(H13=0,0,IF(EDATE(H13,12/$F$10)&lt;=$F$8,EDATE(H13,12/$F$10),0)))</f>
        <v>0</v>
      </c>
      <c r="I14" s="259"/>
      <c r="J14" s="20"/>
      <c r="K14" s="39"/>
      <c r="L14" s="141" t="s">
        <v>15</v>
      </c>
      <c r="M14" s="176"/>
      <c r="N14" s="177"/>
      <c r="O14" s="21"/>
      <c r="P14" s="20"/>
      <c r="R14" s="20"/>
      <c r="S14" s="20"/>
      <c r="T14" s="20"/>
      <c r="U14" s="20"/>
      <c r="V14" s="20"/>
    </row>
    <row r="15" spans="2:22" ht="11.25" customHeight="1">
      <c r="B15" s="16"/>
      <c r="C15" s="20"/>
      <c r="D15" s="445"/>
      <c r="E15" s="52" t="s">
        <v>83</v>
      </c>
      <c r="F15" s="7"/>
      <c r="G15" s="24"/>
      <c r="H15" s="260">
        <f>IF($F$8=0,0,IF(H14=0,0,IF(EDATE(H14,12/$F$10)&lt;=$F$8,EDATE(H14,12/$F$10),0)))</f>
        <v>0</v>
      </c>
      <c r="I15" s="261"/>
      <c r="J15" s="46"/>
      <c r="K15" s="76"/>
      <c r="L15" s="142" t="s">
        <v>16</v>
      </c>
      <c r="M15" s="25" t="s">
        <v>141</v>
      </c>
      <c r="N15" s="304"/>
      <c r="O15" s="77"/>
      <c r="P15" s="46"/>
      <c r="R15" s="20"/>
      <c r="S15" s="20"/>
      <c r="T15" s="20"/>
      <c r="U15" s="20"/>
      <c r="V15" s="20"/>
    </row>
    <row r="16" spans="2:22" ht="12.75" customHeight="1">
      <c r="B16" s="16"/>
      <c r="C16" s="276" t="s">
        <v>59</v>
      </c>
      <c r="D16" s="446"/>
      <c r="E16" s="65" t="s">
        <v>84</v>
      </c>
      <c r="F16" s="7"/>
      <c r="H16" s="260">
        <f>IF($F$8=0,0,IF(H15=0,0,IF(EDATE(H15,12/$F$10)&lt;=$F$8,EDATE(H15,12/$F$10),0)))</f>
        <v>0</v>
      </c>
      <c r="I16" s="261"/>
      <c r="J16" s="46"/>
      <c r="K16" s="76"/>
      <c r="L16" s="18" t="s">
        <v>140</v>
      </c>
      <c r="M16" s="9"/>
      <c r="N16" s="183"/>
      <c r="O16" s="77"/>
      <c r="P16" s="46"/>
      <c r="R16" s="20"/>
      <c r="S16" s="20"/>
      <c r="T16" s="20"/>
      <c r="U16" s="20"/>
      <c r="V16" s="20"/>
    </row>
    <row r="17" spans="2:22" ht="11.25">
      <c r="B17" s="16"/>
      <c r="C17" s="277" t="s">
        <v>60</v>
      </c>
      <c r="E17" s="25" t="s">
        <v>120</v>
      </c>
      <c r="F17" s="7"/>
      <c r="H17" s="260">
        <f>IF($F$8=0,0,IF(H16=0,0,IF(EDATE(H16,12/$F$10)&lt;=$F$8,EDATE(H16,12/$F$10),0)))</f>
        <v>0</v>
      </c>
      <c r="I17" s="261"/>
      <c r="J17" s="46"/>
      <c r="K17" s="76"/>
      <c r="L17" s="18" t="s">
        <v>75</v>
      </c>
      <c r="M17" s="30">
        <f>M16*F26/100</f>
        <v>0</v>
      </c>
      <c r="N17" s="183"/>
      <c r="O17" s="77"/>
      <c r="P17" s="46"/>
      <c r="R17" s="20"/>
      <c r="S17" s="20"/>
      <c r="T17" s="20"/>
      <c r="U17" s="20"/>
      <c r="V17" s="20"/>
    </row>
    <row r="18" spans="2:22" ht="11.25">
      <c r="B18" s="16"/>
      <c r="C18" s="278" t="s">
        <v>61</v>
      </c>
      <c r="E18" s="25" t="s">
        <v>121</v>
      </c>
      <c r="F18" s="5"/>
      <c r="H18" s="260">
        <f>IF($F$8=0,0,IF(H17=0,0,IF(EDATE(H17,12/$F$10)&lt;=$F$8,EDATE(H17,12/$F$10),0)))</f>
        <v>0</v>
      </c>
      <c r="I18" s="261"/>
      <c r="J18" s="32"/>
      <c r="K18" s="81"/>
      <c r="L18" s="18" t="s">
        <v>69</v>
      </c>
      <c r="M18" s="158">
        <f>M16*F29/100</f>
        <v>0</v>
      </c>
      <c r="N18" s="183"/>
      <c r="O18" s="82"/>
      <c r="P18" s="32"/>
      <c r="R18" s="20"/>
      <c r="S18" s="20"/>
      <c r="T18" s="20"/>
      <c r="U18" s="20"/>
      <c r="V18" s="20"/>
    </row>
    <row r="19" spans="2:22" ht="11.25">
      <c r="B19" s="16"/>
      <c r="C19" s="279" t="s">
        <v>62</v>
      </c>
      <c r="F19" s="275">
        <v>1</v>
      </c>
      <c r="H19" s="260">
        <f>IF($F$8=0,0,IF(H18=0,0,IF(EDATE(H18,12/$F$10)&lt;=$F$8,EDATE(H18,12/$F$10),0)))</f>
        <v>0</v>
      </c>
      <c r="I19" s="261"/>
      <c r="J19" s="32"/>
      <c r="K19" s="81"/>
      <c r="L19" s="18" t="s">
        <v>143</v>
      </c>
      <c r="M19" s="52">
        <f>IF(E27=1,M16*F27/100,M17*F27/100)</f>
        <v>0</v>
      </c>
      <c r="N19" s="183"/>
      <c r="O19" s="82"/>
      <c r="P19" s="32"/>
      <c r="Q19" s="122"/>
      <c r="R19" s="20"/>
      <c r="S19" s="20"/>
      <c r="T19" s="20"/>
      <c r="U19" s="20"/>
      <c r="V19" s="20"/>
    </row>
    <row r="20" spans="2:22" ht="11.25">
      <c r="B20" s="16"/>
      <c r="F20" s="269">
        <f>IF(F15=0,1,F15)</f>
        <v>1</v>
      </c>
      <c r="H20" s="260">
        <f>IF($F$8=0,0,IF(H19=0,0,IF(EDATE(H19,12/$F$10)&lt;=$F$8,EDATE(H19,12/$F$10),0)))</f>
        <v>0</v>
      </c>
      <c r="I20" s="261"/>
      <c r="J20" s="32"/>
      <c r="K20" s="81"/>
      <c r="L20" s="18" t="s">
        <v>4</v>
      </c>
      <c r="M20" s="10"/>
      <c r="N20" s="302"/>
      <c r="O20" s="82"/>
      <c r="P20" s="32"/>
      <c r="Q20" s="122"/>
      <c r="R20" s="20"/>
      <c r="S20" s="20"/>
      <c r="T20" s="20"/>
      <c r="U20" s="20"/>
      <c r="V20" s="20"/>
    </row>
    <row r="21" spans="2:22" ht="11.25">
      <c r="B21" s="16"/>
      <c r="H21" s="260">
        <f>IF($F$8=0,0,IF(H20=0,0,IF(EDATE(H20,12/$F$10)&lt;=$F$8,EDATE(H20,12/$F$10),0)))</f>
        <v>0</v>
      </c>
      <c r="I21" s="261"/>
      <c r="J21" s="32"/>
      <c r="K21" s="81"/>
      <c r="L21" s="18" t="s">
        <v>70</v>
      </c>
      <c r="M21" s="52">
        <f>IF(M16=0,0,F35*M16/100)</f>
        <v>0</v>
      </c>
      <c r="N21" s="183"/>
      <c r="O21" s="82"/>
      <c r="P21" s="32"/>
      <c r="Q21" s="122"/>
      <c r="R21" s="203"/>
      <c r="S21" s="20"/>
      <c r="T21" s="20"/>
      <c r="U21" s="20"/>
      <c r="V21" s="20"/>
    </row>
    <row r="22" spans="2:22" ht="12" customHeight="1">
      <c r="B22" s="16"/>
      <c r="D22" s="270" t="s">
        <v>147</v>
      </c>
      <c r="E22" s="112"/>
      <c r="F22" s="271"/>
      <c r="H22" s="260">
        <f>IF($F$8=0,0,IF(H21=0,0,IF(EDATE(H21,12/$F$10)&lt;=$F$8,EDATE(H21,12/$F$10),0)))</f>
        <v>0</v>
      </c>
      <c r="I22" s="261"/>
      <c r="J22" s="32"/>
      <c r="K22" s="81"/>
      <c r="L22" s="18" t="s">
        <v>3</v>
      </c>
      <c r="M22" s="164">
        <f>IF(M16=0,0,(M17-M18+M19+M20)/M16*100)</f>
        <v>0</v>
      </c>
      <c r="N22" s="212"/>
      <c r="O22" s="82"/>
      <c r="P22" s="32"/>
      <c r="Q22" s="122"/>
      <c r="S22" s="20"/>
      <c r="T22" s="20"/>
      <c r="U22" s="20"/>
      <c r="V22" s="20"/>
    </row>
    <row r="23" spans="2:22" ht="12" customHeight="1">
      <c r="B23" s="16"/>
      <c r="D23" s="272" t="s">
        <v>148</v>
      </c>
      <c r="E23" s="273"/>
      <c r="F23" s="274"/>
      <c r="H23" s="260">
        <f>IF($F$8=0,0,IF(H22=0,0,IF(EDATE(H22,12/$F$10)&lt;=$F$8,EDATE(H22,12/$F$10),0)))</f>
        <v>0</v>
      </c>
      <c r="I23" s="261"/>
      <c r="J23" s="32"/>
      <c r="K23" s="81"/>
      <c r="L23" s="18" t="s">
        <v>21</v>
      </c>
      <c r="M23" s="30">
        <f>-M18*C12</f>
        <v>0</v>
      </c>
      <c r="N23" s="183"/>
      <c r="O23" s="82"/>
      <c r="P23" s="32"/>
      <c r="Q23" s="167"/>
      <c r="R23" s="20"/>
      <c r="S23" s="20"/>
      <c r="T23" s="20"/>
      <c r="U23" s="20"/>
      <c r="V23" s="20"/>
    </row>
    <row r="24" spans="2:22" ht="11.25">
      <c r="B24" s="16"/>
      <c r="C24" s="208"/>
      <c r="D24" s="181"/>
      <c r="E24" s="333"/>
      <c r="F24" s="2"/>
      <c r="H24" s="260">
        <f>IF($F$8=0,0,IF(H23=0,0,IF(EDATE(H23,12/$F$10)&lt;=$F$8,EDATE(H23,12/$F$10),0)))</f>
        <v>0</v>
      </c>
      <c r="I24" s="261"/>
      <c r="J24" s="32"/>
      <c r="K24" s="81"/>
      <c r="L24" s="18" t="s">
        <v>87</v>
      </c>
      <c r="M24" s="30">
        <f>-M21*C12</f>
        <v>0</v>
      </c>
      <c r="N24" s="183"/>
      <c r="O24" s="82"/>
      <c r="P24" s="32"/>
      <c r="Q24" s="122"/>
      <c r="R24" s="20"/>
      <c r="S24" s="20"/>
      <c r="T24" s="20"/>
      <c r="U24" s="20"/>
      <c r="V24" s="20"/>
    </row>
    <row r="25" spans="2:22" ht="11.25">
      <c r="B25" s="16"/>
      <c r="C25" s="209"/>
      <c r="D25" s="114" t="s">
        <v>101</v>
      </c>
      <c r="E25" s="48"/>
      <c r="F25" s="4"/>
      <c r="G25" s="81"/>
      <c r="H25" s="260">
        <f>IF($F$8=0,0,IF(H24=0,0,IF(EDATE(H24,12/$F$10)&lt;=$F$8,EDATE(H24,12/$F$10),0)))</f>
        <v>0</v>
      </c>
      <c r="I25" s="261"/>
      <c r="J25" s="46"/>
      <c r="K25" s="76"/>
      <c r="L25" s="34" t="s">
        <v>144</v>
      </c>
      <c r="M25" s="35">
        <f>M17+M19+M20+M21+M23+M24</f>
        <v>0</v>
      </c>
      <c r="N25" s="303"/>
      <c r="O25" s="77"/>
      <c r="P25" s="46"/>
      <c r="Q25" s="122"/>
      <c r="R25" s="20"/>
      <c r="S25" s="20"/>
      <c r="T25" s="20"/>
      <c r="U25" s="20"/>
      <c r="V25" s="20"/>
    </row>
    <row r="26" spans="2:22" ht="11.25">
      <c r="B26" s="16"/>
      <c r="C26" s="209"/>
      <c r="D26" s="171" t="s">
        <v>7</v>
      </c>
      <c r="E26" s="114"/>
      <c r="F26" s="116"/>
      <c r="G26" s="84"/>
      <c r="H26" s="260">
        <f>IF($F$8=0,0,IF(H25=0,0,IF(EDATE(H25,12/$F$10)&lt;=$F$8,EDATE(H25,12/$F$10),0)))</f>
        <v>0</v>
      </c>
      <c r="I26" s="261"/>
      <c r="J26" s="46"/>
      <c r="K26" s="76"/>
      <c r="N26" s="46"/>
      <c r="O26" s="77"/>
      <c r="P26" s="46"/>
      <c r="Q26" s="169"/>
      <c r="R26" s="20"/>
      <c r="S26" s="20"/>
      <c r="T26" s="20"/>
      <c r="U26" s="20"/>
      <c r="V26" s="20"/>
    </row>
    <row r="27" spans="2:22" ht="16.5" customHeight="1">
      <c r="B27" s="16"/>
      <c r="C27" s="209"/>
      <c r="D27" s="171"/>
      <c r="E27" s="341">
        <v>2</v>
      </c>
      <c r="F27" s="106"/>
      <c r="G27" s="84"/>
      <c r="H27" s="260">
        <f>IF($F$8=0,0,IF(H26=0,0,IF(EDATE(H26,12/$F$10)&lt;=$F$8,EDATE(H26,12/$F$10),0)))</f>
        <v>0</v>
      </c>
      <c r="I27" s="261"/>
      <c r="J27" s="46"/>
      <c r="K27" s="76"/>
      <c r="L27" s="141" t="s">
        <v>15</v>
      </c>
      <c r="M27" s="176"/>
      <c r="N27" s="46"/>
      <c r="O27" s="77"/>
      <c r="P27" s="46"/>
      <c r="Q27" s="122"/>
      <c r="R27" s="20"/>
      <c r="S27" s="20"/>
      <c r="T27" s="20"/>
      <c r="U27" s="20"/>
      <c r="V27" s="20"/>
    </row>
    <row r="28" spans="2:22" ht="11.25">
      <c r="B28" s="16"/>
      <c r="C28" s="209"/>
      <c r="D28" s="109" t="s">
        <v>39</v>
      </c>
      <c r="E28" s="110"/>
      <c r="F28" s="53">
        <f>IF(F25=0,0,$F$12/($F$8-$F$6)*(F25-$F$6)+$F$7)</f>
        <v>0</v>
      </c>
      <c r="H28" s="260">
        <f>IF($F$8=0,0,IF(H27=0,0,IF(EDATE(H27,12/$F$10)&lt;=$F$8,EDATE(H27,12/$F$10),0)))</f>
        <v>0</v>
      </c>
      <c r="I28" s="261"/>
      <c r="J28" s="46"/>
      <c r="K28" s="76"/>
      <c r="L28" s="142" t="s">
        <v>17</v>
      </c>
      <c r="M28" s="25" t="s">
        <v>141</v>
      </c>
      <c r="N28" s="304"/>
      <c r="O28" s="77"/>
      <c r="P28" s="46"/>
      <c r="Q28" s="122"/>
      <c r="R28" s="20"/>
      <c r="S28" s="20"/>
      <c r="T28" s="94"/>
      <c r="U28" s="134"/>
      <c r="V28" s="20"/>
    </row>
    <row r="29" spans="2:22" ht="11.25">
      <c r="B29" s="16"/>
      <c r="C29" s="209"/>
      <c r="D29" s="171" t="s">
        <v>14</v>
      </c>
      <c r="E29" s="114"/>
      <c r="F29" s="168">
        <f>IF(OR($F$8=0,$F$7=0,F25=0,F26=0,$F$7&gt;$F$8),0,F28-$F$7)</f>
        <v>0</v>
      </c>
      <c r="G29" s="126"/>
      <c r="H29" s="260">
        <f>IF($F$8=0,0,IF(H28=0,0,IF(EDATE(H28,12/$F$10)&lt;=$F$8,EDATE(H28,12/$F$10),0)))</f>
        <v>0</v>
      </c>
      <c r="I29" s="261"/>
      <c r="J29" s="85"/>
      <c r="K29" s="86"/>
      <c r="L29" s="18" t="s">
        <v>140</v>
      </c>
      <c r="M29" s="140">
        <f>M16</f>
        <v>0</v>
      </c>
      <c r="N29" s="183"/>
      <c r="O29" s="87"/>
      <c r="P29" s="85"/>
      <c r="Q29" s="122"/>
      <c r="R29" s="20"/>
      <c r="S29" s="20"/>
      <c r="T29" s="20"/>
      <c r="U29" s="20"/>
      <c r="V29" s="20"/>
    </row>
    <row r="30" spans="2:22" s="42" customFormat="1" ht="11.25">
      <c r="B30" s="40"/>
      <c r="C30" s="209"/>
      <c r="D30" s="179" t="s">
        <v>74</v>
      </c>
      <c r="E30" s="120"/>
      <c r="F30" s="130">
        <f>F26-F29</f>
        <v>0</v>
      </c>
      <c r="G30" s="126"/>
      <c r="H30" s="260">
        <f>IF($F$8=0,0,IF(H29=0,0,IF(EDATE(H29,12/$F$10)&lt;=$F$8,EDATE(H29,12/$F$10),0)))</f>
        <v>0</v>
      </c>
      <c r="I30" s="259"/>
      <c r="J30" s="89"/>
      <c r="K30" s="90"/>
      <c r="L30" s="18" t="s">
        <v>75</v>
      </c>
      <c r="M30" s="30">
        <f>IF(F42&lt;&gt;0,M29*F43/100,F13*M29/100)</f>
        <v>0</v>
      </c>
      <c r="N30" s="183"/>
      <c r="O30" s="43"/>
      <c r="P30" s="89"/>
      <c r="Q30" s="169"/>
      <c r="R30" s="159"/>
      <c r="S30" s="89"/>
      <c r="T30" s="89"/>
      <c r="U30" s="89"/>
      <c r="V30" s="89"/>
    </row>
    <row r="31" spans="2:22" s="42" customFormat="1" ht="11.25">
      <c r="B31" s="40"/>
      <c r="C31" s="209"/>
      <c r="D31" s="179" t="s">
        <v>21</v>
      </c>
      <c r="E31" s="120"/>
      <c r="F31" s="123">
        <f>-F29*C12</f>
        <v>0</v>
      </c>
      <c r="G31" s="83"/>
      <c r="H31" s="260">
        <f>IF($F$8=0,0,IF(H30=0,0,IF(EDATE(H30,12/$F$10)&lt;=$F$8,EDATE(H30,12/$F$10),0)))</f>
        <v>0</v>
      </c>
      <c r="I31" s="259"/>
      <c r="J31" s="89"/>
      <c r="K31" s="90"/>
      <c r="L31" s="18" t="s">
        <v>69</v>
      </c>
      <c r="M31" s="157">
        <f>IF(F42&lt;&gt;0,F47*M29/100,IF(F7&gt;F9,0,F12*M29/100))</f>
        <v>0</v>
      </c>
      <c r="N31" s="183"/>
      <c r="O31" s="43"/>
      <c r="P31" s="89"/>
      <c r="Q31" s="122"/>
      <c r="R31" s="159"/>
      <c r="S31" s="127"/>
      <c r="T31" s="129"/>
      <c r="U31" s="129"/>
      <c r="V31" s="89"/>
    </row>
    <row r="32" spans="2:22" s="42" customFormat="1" ht="11.25" customHeight="1">
      <c r="B32" s="40"/>
      <c r="C32" s="209"/>
      <c r="D32" s="114" t="s">
        <v>146</v>
      </c>
      <c r="E32" s="48"/>
      <c r="F32" s="162">
        <f>IF(OR(F25=0,F26=0,F9=0),0,F13)</f>
        <v>0</v>
      </c>
      <c r="G32" s="84"/>
      <c r="H32" s="260">
        <f>IF($F$8=0,0,IF(H31=0,0,IF(EDATE(H31,12/$F$10)&lt;=$F$8,EDATE(H31,12/$F$10),0)))</f>
        <v>0</v>
      </c>
      <c r="I32" s="259"/>
      <c r="J32" s="89"/>
      <c r="K32" s="90"/>
      <c r="L32" s="18" t="s">
        <v>143</v>
      </c>
      <c r="M32" s="102">
        <f>IF(E44=1,M29*F44/100,M30*F44/100)</f>
        <v>0</v>
      </c>
      <c r="N32" s="183"/>
      <c r="O32" s="43"/>
      <c r="P32" s="89"/>
      <c r="R32" s="159"/>
      <c r="S32" s="127"/>
      <c r="T32" s="129"/>
      <c r="U32" s="129"/>
      <c r="V32" s="89"/>
    </row>
    <row r="33" spans="2:22" ht="11.25">
      <c r="B33" s="16"/>
      <c r="C33" s="209"/>
      <c r="D33" s="173" t="s">
        <v>47</v>
      </c>
      <c r="E33" s="115"/>
      <c r="F33" s="41">
        <f>IF(OR(F10=0,F25=0),0,COUPPCD(F25,F8,F10,1))</f>
        <v>0</v>
      </c>
      <c r="G33" s="84"/>
      <c r="H33" s="260">
        <f>IF($F$8=0,0,IF(H32=0,0,IF(EDATE(H32,12/$F$10)&lt;=$F$8,EDATE(H32,12/$F$10),0)))</f>
        <v>0</v>
      </c>
      <c r="I33" s="259"/>
      <c r="J33" s="22"/>
      <c r="K33" s="91"/>
      <c r="L33" s="18" t="s">
        <v>4</v>
      </c>
      <c r="M33" s="10"/>
      <c r="N33" s="305"/>
      <c r="O33" s="71"/>
      <c r="P33" s="22"/>
      <c r="R33" s="20"/>
      <c r="S33" s="20"/>
      <c r="T33" s="20"/>
      <c r="U33" s="20"/>
      <c r="V33" s="20"/>
    </row>
    <row r="34" spans="2:22" ht="11.25" customHeight="1">
      <c r="B34" s="16"/>
      <c r="C34" s="209"/>
      <c r="D34" s="173" t="s">
        <v>48</v>
      </c>
      <c r="E34" s="115"/>
      <c r="F34" s="41">
        <f>IF(OR(F10=0,F25=0),0,COUPNCD(F25,F8,F10,1))</f>
        <v>0</v>
      </c>
      <c r="G34" s="88"/>
      <c r="H34" s="260">
        <f>IF($F$8=0,0,IF(H33=0,0,IF(EDATE(H33,12/$F$10)&lt;=$F$8,EDATE(H33,12/$F$10),0)))</f>
        <v>0</v>
      </c>
      <c r="I34" s="259"/>
      <c r="J34" s="20"/>
      <c r="K34" s="39"/>
      <c r="L34" s="18" t="s">
        <v>70</v>
      </c>
      <c r="M34" s="30">
        <f>IF(OR(F11=0,M16=0),0,IF(F42&lt;&gt;0,F52*M29/100,(VLOOKUP(F8,C64:G123,5,FALSE)/(1-C12))*M16))</f>
        <v>0</v>
      </c>
      <c r="N34" s="183"/>
      <c r="O34" s="21"/>
      <c r="P34" s="20"/>
      <c r="R34" s="132"/>
      <c r="S34" s="32"/>
      <c r="T34" s="46"/>
      <c r="U34" s="20"/>
      <c r="V34" s="20"/>
    </row>
    <row r="35" spans="2:22" ht="11.25">
      <c r="B35" s="16"/>
      <c r="C35" s="209"/>
      <c r="D35" s="171" t="s">
        <v>70</v>
      </c>
      <c r="E35" s="114"/>
      <c r="F35" s="125" t="e">
        <f>YEARFRAC(F33,F25,F19-1)*F11*100</f>
        <v>#NAME?</v>
      </c>
      <c r="G35" s="88"/>
      <c r="H35" s="260">
        <f>IF($F$8=0,0,IF(H34=0,0,IF(EDATE(H34,12/$F$10)&lt;=$F$8,EDATE(H34,12/$F$10),0)))</f>
        <v>0</v>
      </c>
      <c r="I35" s="259"/>
      <c r="J35" s="20"/>
      <c r="K35" s="39"/>
      <c r="L35" s="155" t="s">
        <v>24</v>
      </c>
      <c r="M35" s="175">
        <f>IF(M16=0,0,(M30-M31-M32-M33)/M29*100)</f>
        <v>0</v>
      </c>
      <c r="N35" s="76"/>
      <c r="O35" s="21"/>
      <c r="P35" s="20"/>
      <c r="S35" s="32"/>
      <c r="T35" s="46"/>
      <c r="U35" s="20"/>
      <c r="V35" s="20"/>
    </row>
    <row r="36" spans="2:22" ht="12.75" customHeight="1">
      <c r="B36" s="16"/>
      <c r="C36" s="209"/>
      <c r="D36" s="171" t="s">
        <v>132</v>
      </c>
      <c r="E36" s="114"/>
      <c r="F36" s="125" t="e">
        <f>F35*(1-C12)</f>
        <v>#NAME?</v>
      </c>
      <c r="G36" s="88"/>
      <c r="H36" s="20"/>
      <c r="I36" s="20"/>
      <c r="J36" s="20"/>
      <c r="K36" s="39"/>
      <c r="L36" s="18" t="s">
        <v>21</v>
      </c>
      <c r="M36" s="30">
        <f>IF(F42&lt;&gt;0,-F47*C12*M29/100,0)</f>
        <v>0</v>
      </c>
      <c r="N36" s="183"/>
      <c r="O36" s="21"/>
      <c r="P36" s="20"/>
      <c r="R36" s="20"/>
      <c r="V36" s="20"/>
    </row>
    <row r="37" spans="2:22" ht="11.25">
      <c r="B37" s="16"/>
      <c r="C37" s="210"/>
      <c r="D37" s="170" t="s">
        <v>133</v>
      </c>
      <c r="E37" s="119"/>
      <c r="F37" s="44">
        <f>IF(F26=0,0,IF(E27=1,F26+F27+F31+F36,F26+F27*F26/100+F31+F36))</f>
        <v>0</v>
      </c>
      <c r="G37" s="297"/>
      <c r="H37" s="20"/>
      <c r="I37" s="20"/>
      <c r="J37" s="20"/>
      <c r="K37" s="39"/>
      <c r="L37" s="18" t="s">
        <v>87</v>
      </c>
      <c r="M37" s="30">
        <f>-M34*C12</f>
        <v>0</v>
      </c>
      <c r="N37" s="183"/>
      <c r="O37" s="21"/>
      <c r="P37" s="20"/>
      <c r="Q37" s="122"/>
      <c r="R37" s="20"/>
      <c r="V37" s="20"/>
    </row>
    <row r="38" spans="2:22" ht="11.25">
      <c r="B38" s="16"/>
      <c r="G38" s="46"/>
      <c r="H38" s="20"/>
      <c r="I38" s="20"/>
      <c r="J38" s="20"/>
      <c r="K38" s="39"/>
      <c r="L38" s="155" t="s">
        <v>25</v>
      </c>
      <c r="M38" s="148">
        <f>M30-M32-M33+M34+M36+M37</f>
        <v>0</v>
      </c>
      <c r="N38" s="306"/>
      <c r="O38" s="21"/>
      <c r="P38" s="20"/>
      <c r="R38" s="20"/>
      <c r="S38" s="20"/>
      <c r="T38" s="20"/>
      <c r="U38" s="20"/>
      <c r="V38" s="20"/>
    </row>
    <row r="39" spans="2:22" ht="11.25">
      <c r="B39" s="16"/>
      <c r="C39" s="208"/>
      <c r="D39" s="180" t="s">
        <v>8</v>
      </c>
      <c r="E39" s="150"/>
      <c r="F39" s="151"/>
      <c r="G39" s="47"/>
      <c r="H39" s="20"/>
      <c r="I39" s="20"/>
      <c r="J39" s="20"/>
      <c r="K39" s="39"/>
      <c r="L39" s="154" t="s">
        <v>5</v>
      </c>
      <c r="M39" s="149"/>
      <c r="N39" s="306"/>
      <c r="O39" s="21"/>
      <c r="P39" s="20"/>
      <c r="R39" s="20"/>
      <c r="S39" s="20"/>
      <c r="T39" s="20"/>
      <c r="U39" s="20"/>
      <c r="V39" s="20"/>
    </row>
    <row r="40" spans="2:22" ht="11.25">
      <c r="B40" s="16"/>
      <c r="C40" s="209"/>
      <c r="D40" s="152"/>
      <c r="E40" s="152"/>
      <c r="F40" s="153"/>
      <c r="G40" s="47"/>
      <c r="H40" s="20"/>
      <c r="I40" s="20"/>
      <c r="J40" s="20"/>
      <c r="K40" s="39"/>
      <c r="N40" s="46"/>
      <c r="O40" s="21"/>
      <c r="P40" s="20"/>
      <c r="R40" s="20"/>
      <c r="S40" s="46"/>
      <c r="T40" s="131"/>
      <c r="U40" s="20"/>
      <c r="V40" s="20"/>
    </row>
    <row r="41" spans="2:22" ht="11.25">
      <c r="B41" s="16"/>
      <c r="C41" s="209"/>
      <c r="D41" s="181"/>
      <c r="E41" s="333"/>
      <c r="F41" s="335"/>
      <c r="G41" s="46"/>
      <c r="H41" s="20"/>
      <c r="I41" s="20"/>
      <c r="J41" s="20"/>
      <c r="K41" s="39"/>
      <c r="L41" s="18" t="s">
        <v>66</v>
      </c>
      <c r="M41" s="106"/>
      <c r="N41" s="183"/>
      <c r="O41" s="21"/>
      <c r="P41" s="20"/>
      <c r="R41" s="20"/>
      <c r="S41" s="46"/>
      <c r="T41" s="131"/>
      <c r="U41" s="20"/>
      <c r="V41" s="20"/>
    </row>
    <row r="42" spans="2:22" ht="11.25">
      <c r="B42" s="16"/>
      <c r="C42" s="209"/>
      <c r="D42" s="171" t="s">
        <v>102</v>
      </c>
      <c r="E42" s="114"/>
      <c r="F42" s="138"/>
      <c r="G42" s="49"/>
      <c r="H42" s="20"/>
      <c r="I42" s="20"/>
      <c r="J42" s="20"/>
      <c r="K42" s="39"/>
      <c r="L42" s="18" t="s">
        <v>145</v>
      </c>
      <c r="M42" s="30">
        <f>IF(OR(M16=0,F11=0,F10=0),0,M16*F11/F10*(1-C12)-M41)</f>
        <v>0</v>
      </c>
      <c r="N42" s="183"/>
      <c r="O42" s="21"/>
      <c r="P42" s="20"/>
      <c r="R42" s="20"/>
      <c r="S42" s="46"/>
      <c r="T42" s="131"/>
      <c r="U42" s="20"/>
      <c r="V42" s="20"/>
    </row>
    <row r="43" spans="2:22" ht="11.25">
      <c r="B43" s="16"/>
      <c r="C43" s="209"/>
      <c r="D43" s="171" t="s">
        <v>6</v>
      </c>
      <c r="E43" s="114"/>
      <c r="F43" s="1"/>
      <c r="G43" s="84"/>
      <c r="H43" s="20"/>
      <c r="I43" s="20"/>
      <c r="J43" s="20"/>
      <c r="K43" s="39"/>
      <c r="N43" s="46"/>
      <c r="O43" s="21"/>
      <c r="P43" s="20"/>
      <c r="R43" s="20"/>
      <c r="S43" s="46"/>
      <c r="T43" s="131"/>
      <c r="U43" s="20"/>
      <c r="V43" s="20"/>
    </row>
    <row r="44" spans="2:22" ht="16.5" customHeight="1">
      <c r="B44" s="16"/>
      <c r="C44" s="209"/>
      <c r="D44" s="171"/>
      <c r="E44" s="340">
        <v>2</v>
      </c>
      <c r="F44" s="1"/>
      <c r="G44" s="84"/>
      <c r="H44" s="20"/>
      <c r="I44" s="20"/>
      <c r="J44" s="20"/>
      <c r="K44" s="39"/>
      <c r="N44" s="46"/>
      <c r="O44" s="21"/>
      <c r="P44" s="20"/>
      <c r="R44" s="20"/>
      <c r="S44" s="20"/>
      <c r="T44" s="20"/>
      <c r="U44" s="20"/>
      <c r="V44" s="20"/>
    </row>
    <row r="45" spans="2:22" ht="11.25">
      <c r="B45" s="16"/>
      <c r="C45" s="209"/>
      <c r="D45" s="171" t="s">
        <v>57</v>
      </c>
      <c r="E45" s="114"/>
      <c r="F45" s="211"/>
      <c r="G45" s="84"/>
      <c r="H45" s="20"/>
      <c r="I45" s="20"/>
      <c r="J45" s="20"/>
      <c r="K45" s="39"/>
      <c r="L45" s="113" t="s">
        <v>0</v>
      </c>
      <c r="M45" s="174">
        <f>M35-M22</f>
        <v>0</v>
      </c>
      <c r="N45" s="46"/>
      <c r="O45" s="21"/>
      <c r="P45" s="20"/>
      <c r="R45" s="20"/>
      <c r="S45" s="20"/>
      <c r="T45" s="20"/>
      <c r="U45" s="20"/>
      <c r="V45" s="20"/>
    </row>
    <row r="46" spans="2:22" ht="11.25">
      <c r="B46" s="16"/>
      <c r="C46" s="209"/>
      <c r="D46" s="109" t="s">
        <v>39</v>
      </c>
      <c r="E46" s="110"/>
      <c r="F46" s="18">
        <f>IF(F42=0,0,$F$12/($F$8-$F$6)*(F42-$F$6)+$F$7)</f>
        <v>0</v>
      </c>
      <c r="G46" s="76"/>
      <c r="H46" s="20"/>
      <c r="I46" s="20"/>
      <c r="J46" s="20"/>
      <c r="K46" s="39"/>
      <c r="L46" s="113" t="s">
        <v>88</v>
      </c>
      <c r="M46" s="174">
        <f>IF(M45&lt;0,0,M45*C12)</f>
        <v>0</v>
      </c>
      <c r="N46" s="46"/>
      <c r="O46" s="21"/>
      <c r="P46" s="20"/>
      <c r="R46" s="20"/>
      <c r="S46" s="20"/>
      <c r="T46" s="20"/>
      <c r="U46" s="20"/>
      <c r="V46" s="20"/>
    </row>
    <row r="47" spans="2:22" ht="11.25">
      <c r="B47" s="16"/>
      <c r="C47" s="209"/>
      <c r="D47" s="181" t="s">
        <v>14</v>
      </c>
      <c r="E47" s="114"/>
      <c r="F47" s="124">
        <f>IF(OR($F$7=0,$F$6=0,F42=0,F43=0,$F$7&gt;$F$9),0,F46-$F$7)</f>
        <v>0</v>
      </c>
      <c r="G47" s="84"/>
      <c r="H47" s="20"/>
      <c r="I47" s="20"/>
      <c r="J47" s="20"/>
      <c r="K47" s="39"/>
      <c r="N47" s="46"/>
      <c r="O47" s="21"/>
      <c r="P47" s="20"/>
      <c r="R47" s="139"/>
      <c r="S47" s="20"/>
      <c r="T47" s="20"/>
      <c r="U47" s="20"/>
      <c r="V47" s="20"/>
    </row>
    <row r="48" spans="2:22" ht="11.25">
      <c r="B48" s="16"/>
      <c r="C48" s="209"/>
      <c r="D48" s="181" t="s">
        <v>74</v>
      </c>
      <c r="E48" s="114"/>
      <c r="F48" s="136">
        <f>F43-F47</f>
        <v>0</v>
      </c>
      <c r="G48" s="84"/>
      <c r="H48" s="20"/>
      <c r="I48" s="20"/>
      <c r="J48" s="20"/>
      <c r="K48" s="39"/>
      <c r="L48" s="18" t="s">
        <v>86</v>
      </c>
      <c r="M48" s="30">
        <f>M45*M16/100</f>
        <v>0</v>
      </c>
      <c r="N48" s="183"/>
      <c r="O48" s="21"/>
      <c r="P48" s="20"/>
      <c r="S48" s="20"/>
      <c r="T48" s="20"/>
      <c r="U48" s="20"/>
      <c r="V48" s="20"/>
    </row>
    <row r="49" spans="2:22" ht="11.25">
      <c r="B49" s="16"/>
      <c r="C49" s="209"/>
      <c r="D49" s="179" t="s">
        <v>21</v>
      </c>
      <c r="E49" s="114"/>
      <c r="F49" s="125">
        <f>F47*C12</f>
        <v>0</v>
      </c>
      <c r="G49" s="84"/>
      <c r="H49" s="20"/>
      <c r="I49" s="20"/>
      <c r="J49" s="20"/>
      <c r="K49" s="39"/>
      <c r="L49" s="18" t="s">
        <v>33</v>
      </c>
      <c r="M49" s="10"/>
      <c r="N49" s="305"/>
      <c r="O49" s="21"/>
      <c r="P49" s="20"/>
      <c r="R49" s="20"/>
      <c r="S49" s="20"/>
      <c r="T49" s="20"/>
      <c r="U49" s="20"/>
      <c r="V49" s="20"/>
    </row>
    <row r="50" spans="2:22" ht="11.25">
      <c r="B50" s="16"/>
      <c r="C50" s="209"/>
      <c r="D50" s="171" t="s">
        <v>131</v>
      </c>
      <c r="E50" s="114"/>
      <c r="F50" s="128">
        <f>IF(F42="",0,(F43-F49))</f>
        <v>0</v>
      </c>
      <c r="G50" s="84"/>
      <c r="H50" s="20"/>
      <c r="I50" s="20"/>
      <c r="J50" s="20"/>
      <c r="K50" s="39"/>
      <c r="L50" s="18" t="s">
        <v>2</v>
      </c>
      <c r="M50" s="30">
        <f>IF(M49&gt;M48,0,M48-M49)</f>
        <v>0</v>
      </c>
      <c r="N50" s="183"/>
      <c r="O50" s="21"/>
      <c r="P50" s="20"/>
      <c r="R50" s="133"/>
      <c r="S50" s="20"/>
      <c r="T50" s="20"/>
      <c r="U50" s="20"/>
      <c r="V50" s="20"/>
    </row>
    <row r="51" spans="2:22" ht="11.25">
      <c r="B51" s="16"/>
      <c r="C51" s="209"/>
      <c r="D51" s="171" t="s">
        <v>47</v>
      </c>
      <c r="E51" s="114"/>
      <c r="F51" s="41">
        <f>IF(F33=0,0,COUPPCD(F42,F8,F10))</f>
        <v>0</v>
      </c>
      <c r="G51" s="238"/>
      <c r="H51" s="20"/>
      <c r="I51" s="20"/>
      <c r="J51" s="20"/>
      <c r="K51" s="39"/>
      <c r="L51" s="18" t="s">
        <v>22</v>
      </c>
      <c r="M51" s="30">
        <f>M50*C12</f>
        <v>0</v>
      </c>
      <c r="N51" s="183"/>
      <c r="O51" s="21"/>
      <c r="P51" s="20"/>
      <c r="R51" s="133"/>
      <c r="S51" s="20"/>
      <c r="T51" s="20"/>
      <c r="U51" s="20"/>
      <c r="V51" s="20"/>
    </row>
    <row r="52" spans="2:22" ht="11.25">
      <c r="B52" s="16"/>
      <c r="C52" s="209"/>
      <c r="D52" s="171" t="s">
        <v>70</v>
      </c>
      <c r="E52" s="114"/>
      <c r="F52" s="125">
        <f>IF(F42="",0,YEARFRAC(F51,F42,F19-1)*F11*100)</f>
        <v>0</v>
      </c>
      <c r="G52" s="238"/>
      <c r="H52" s="20"/>
      <c r="I52" s="20"/>
      <c r="J52" s="20"/>
      <c r="K52" s="39"/>
      <c r="L52" s="65" t="s">
        <v>35</v>
      </c>
      <c r="M52" s="160">
        <f>IF(M49-M48&lt;0,0,M49-M48)</f>
        <v>0</v>
      </c>
      <c r="N52" s="307"/>
      <c r="O52" s="21"/>
      <c r="P52" s="20"/>
      <c r="R52" s="133"/>
      <c r="S52" s="20"/>
      <c r="T52" s="20"/>
      <c r="U52" s="20"/>
      <c r="V52" s="20"/>
    </row>
    <row r="53" spans="2:22" ht="11.25">
      <c r="B53" s="16"/>
      <c r="C53" s="209"/>
      <c r="D53" s="171" t="s">
        <v>132</v>
      </c>
      <c r="E53" s="114"/>
      <c r="F53" s="125">
        <f>F52*(1-C12)</f>
        <v>0</v>
      </c>
      <c r="G53" s="239"/>
      <c r="H53" s="20"/>
      <c r="I53" s="20"/>
      <c r="J53" s="20"/>
      <c r="K53" s="39"/>
      <c r="N53" s="46"/>
      <c r="O53" s="21"/>
      <c r="P53" s="20"/>
      <c r="R53" s="132"/>
      <c r="S53" s="20"/>
      <c r="T53" s="20"/>
      <c r="U53" s="20"/>
      <c r="V53" s="20"/>
    </row>
    <row r="54" spans="2:22" ht="22.5">
      <c r="B54" s="16"/>
      <c r="C54" s="210"/>
      <c r="D54" s="172" t="s">
        <v>32</v>
      </c>
      <c r="E54" s="114"/>
      <c r="F54" s="163">
        <f>IF(F42="",0,IF(E44=1,F53+F50-F44,F53+F50-F44*F43/100))</f>
        <v>0</v>
      </c>
      <c r="G54" s="84"/>
      <c r="H54" s="20"/>
      <c r="I54" s="20"/>
      <c r="J54" s="20"/>
      <c r="K54" s="39"/>
      <c r="L54" s="161" t="s">
        <v>31</v>
      </c>
      <c r="M54" s="79">
        <f>M38-M51</f>
        <v>0</v>
      </c>
      <c r="N54" s="303"/>
      <c r="O54" s="21"/>
      <c r="P54" s="20"/>
      <c r="R54" s="20"/>
      <c r="S54" s="20"/>
      <c r="T54" s="20"/>
      <c r="U54" s="20"/>
      <c r="V54" s="20"/>
    </row>
    <row r="55" spans="2:22" ht="9.75">
      <c r="B55" s="16"/>
      <c r="C55" s="20"/>
      <c r="D55" s="45"/>
      <c r="E55" s="22"/>
      <c r="F55" s="20"/>
      <c r="G55" s="46"/>
      <c r="H55" s="20"/>
      <c r="I55" s="20"/>
      <c r="J55" s="20"/>
      <c r="K55" s="39"/>
      <c r="N55" s="46"/>
      <c r="O55" s="21"/>
      <c r="P55" s="20"/>
      <c r="R55" s="20"/>
      <c r="S55" s="20"/>
      <c r="T55" s="20"/>
      <c r="U55" s="20"/>
      <c r="V55" s="20"/>
    </row>
    <row r="56" spans="2:22" ht="11.25" customHeight="1">
      <c r="B56" s="16"/>
      <c r="C56" s="470" t="s">
        <v>134</v>
      </c>
      <c r="D56" s="482" t="s">
        <v>49</v>
      </c>
      <c r="E56" s="483"/>
      <c r="F56" s="52">
        <f>IF(OR(F25=0,F26=0),0,SUM(H63:H123))</f>
        <v>0</v>
      </c>
      <c r="G56" s="84"/>
      <c r="H56" s="22"/>
      <c r="I56" s="22"/>
      <c r="J56" s="22"/>
      <c r="K56" s="91"/>
      <c r="N56" s="46"/>
      <c r="O56" s="71"/>
      <c r="P56" s="22"/>
      <c r="R56" s="20"/>
      <c r="S56" s="20"/>
      <c r="T56" s="20"/>
      <c r="U56" s="20"/>
      <c r="V56" s="20"/>
    </row>
    <row r="57" spans="2:22" ht="9.75">
      <c r="B57" s="16"/>
      <c r="C57" s="471"/>
      <c r="D57" s="482" t="s">
        <v>45</v>
      </c>
      <c r="E57" s="483"/>
      <c r="F57" s="53">
        <f>IF(OR(F8=0,F25=0),0,IF(F42=0,YEARFRAC(F25,F8,1),YEARFRAC(F25,F42,1)))</f>
        <v>0</v>
      </c>
      <c r="G57" s="84"/>
      <c r="H57" s="22"/>
      <c r="I57" s="22"/>
      <c r="J57" s="22"/>
      <c r="K57" s="91"/>
      <c r="L57" s="18" t="s">
        <v>49</v>
      </c>
      <c r="M57" s="79">
        <f>SUM(M63:M123)</f>
        <v>0</v>
      </c>
      <c r="N57" s="303"/>
      <c r="O57" s="71"/>
      <c r="P57" s="22"/>
      <c r="R57" s="20"/>
      <c r="S57" s="20"/>
      <c r="T57" s="20"/>
      <c r="U57" s="20"/>
      <c r="V57" s="20"/>
    </row>
    <row r="58" spans="2:22" ht="9.75">
      <c r="B58" s="16"/>
      <c r="C58" s="471"/>
      <c r="D58" s="482" t="s">
        <v>51</v>
      </c>
      <c r="E58" s="483"/>
      <c r="F58" s="29">
        <f>IF(OR(F25=0,F8=0,F26=0,F9=0),0,-F56/H63/F57)</f>
        <v>0</v>
      </c>
      <c r="G58" s="86"/>
      <c r="H58" s="45"/>
      <c r="I58" s="45"/>
      <c r="J58" s="45"/>
      <c r="K58" s="92"/>
      <c r="L58" s="18" t="s">
        <v>51</v>
      </c>
      <c r="M58" s="36">
        <f>IF(OR(F25=0,F8=0,F26=0,F9=0,F57=0,M25=0),0,M57/M25/F57)</f>
        <v>0</v>
      </c>
      <c r="N58" s="300"/>
      <c r="O58" s="93"/>
      <c r="P58" s="45"/>
      <c r="R58" s="20"/>
      <c r="S58" s="20"/>
      <c r="T58" s="20"/>
      <c r="U58" s="20"/>
      <c r="V58" s="20"/>
    </row>
    <row r="59" spans="2:22" s="56" customFormat="1" ht="24.75" customHeight="1">
      <c r="B59" s="55"/>
      <c r="C59" s="472"/>
      <c r="D59" s="480" t="s">
        <v>11</v>
      </c>
      <c r="E59" s="481"/>
      <c r="F59" s="36">
        <f>IF(OR($F$25=0,$F$8=0,$F$26=0,$F$9=0),0,IF(AND($F$42=0,$F$57&gt;1),XIRR(H63:H123,$C$63:$C$123),IF(AND($F$42=0,$F$57&lt;1),F56/F37/$F$57,IF(AND($F$42&lt;&gt;0,$F$57&gt;1),XIRR(H63:H123,$C$63:$C$123),F56/F37/$F$57))))</f>
        <v>0</v>
      </c>
      <c r="G59" s="300"/>
      <c r="H59" s="94"/>
      <c r="I59" s="94"/>
      <c r="J59" s="94"/>
      <c r="K59" s="95"/>
      <c r="L59" s="218" t="s">
        <v>10</v>
      </c>
      <c r="M59" s="36">
        <f>IF(OR($F$25=0,$F$8=0,$F$26=0,$F$9=0,M25=0),0,IF(AND($F$42=0,$F$57&gt;1),XIRR(M63:M123,$L$63:$L$123),IF(AND($F$42=0,$F$57&lt;1),(M57/M25/$F$57),IF(AND($F$42&lt;&gt;0,$F$57&gt;1),XIRR(M63:M123,$L$63:$L$123),M57/M25/$F$57))))</f>
        <v>0</v>
      </c>
      <c r="N59" s="300"/>
      <c r="O59" s="96"/>
      <c r="P59" s="94"/>
      <c r="Q59" s="165"/>
      <c r="R59" s="111"/>
      <c r="S59" s="111"/>
      <c r="T59" s="111"/>
      <c r="U59" s="111"/>
      <c r="V59" s="111"/>
    </row>
    <row r="60" spans="2:22" s="56" customFormat="1" ht="10.5" thickBot="1">
      <c r="B60" s="58"/>
      <c r="C60" s="353">
        <f>IF(AND(F42&lt;&gt;"",F42=F51),"ATTENZIONE: DATA VENDITA COINCIDENTE CON DATA ULTIMA CEDOLA: RISULTATI NON ATTENDIBILI","")</f>
      </c>
      <c r="D60" s="60"/>
      <c r="E60" s="60"/>
      <c r="F60" s="61"/>
      <c r="G60" s="61"/>
      <c r="H60" s="61"/>
      <c r="I60" s="61"/>
      <c r="J60" s="61"/>
      <c r="K60" s="97"/>
      <c r="L60" s="59"/>
      <c r="M60" s="59"/>
      <c r="N60" s="301"/>
      <c r="O60" s="98"/>
      <c r="P60" s="94"/>
      <c r="Q60" s="166"/>
      <c r="R60" s="111"/>
      <c r="S60" s="111"/>
      <c r="T60" s="111"/>
      <c r="U60" s="111"/>
      <c r="V60" s="111"/>
    </row>
    <row r="61" spans="2:22" ht="10.5" thickTop="1">
      <c r="B61" s="16"/>
      <c r="C61" s="20"/>
      <c r="D61" s="45"/>
      <c r="E61" s="22"/>
      <c r="F61" s="20"/>
      <c r="G61" s="20"/>
      <c r="H61" s="20"/>
      <c r="I61" s="20"/>
      <c r="J61" s="20"/>
      <c r="K61" s="39"/>
      <c r="N61" s="252"/>
      <c r="O61" s="21"/>
      <c r="P61" s="20"/>
      <c r="R61" s="111"/>
      <c r="S61" s="20"/>
      <c r="T61" s="20"/>
      <c r="U61" s="20"/>
      <c r="V61" s="20"/>
    </row>
    <row r="62" spans="2:22" ht="19.5">
      <c r="B62" s="16"/>
      <c r="C62" s="64" t="s">
        <v>52</v>
      </c>
      <c r="D62" s="317"/>
      <c r="E62" s="264" t="s">
        <v>123</v>
      </c>
      <c r="F62" s="18" t="s">
        <v>122</v>
      </c>
      <c r="G62" s="64" t="s">
        <v>50</v>
      </c>
      <c r="H62" s="64" t="s">
        <v>53</v>
      </c>
      <c r="I62" s="308"/>
      <c r="J62" s="28"/>
      <c r="K62" s="78"/>
      <c r="L62" s="64" t="s">
        <v>52</v>
      </c>
      <c r="M62" s="25" t="s">
        <v>141</v>
      </c>
      <c r="N62" s="298"/>
      <c r="O62" s="68"/>
      <c r="P62" s="28"/>
      <c r="S62" s="20"/>
      <c r="T62" s="20"/>
      <c r="U62" s="20"/>
      <c r="V62" s="20"/>
    </row>
    <row r="63" spans="2:16" ht="9.75">
      <c r="B63" s="16"/>
      <c r="C63" s="69">
        <f>F25</f>
        <v>0</v>
      </c>
      <c r="D63" s="11"/>
      <c r="E63" s="18"/>
      <c r="F63" s="18"/>
      <c r="G63" s="65"/>
      <c r="H63" s="66">
        <f>-F37</f>
        <v>0</v>
      </c>
      <c r="I63" s="309"/>
      <c r="J63" s="99"/>
      <c r="K63" s="100"/>
      <c r="L63" s="101">
        <f aca="true" t="shared" si="0" ref="L63:L94">C63</f>
        <v>0</v>
      </c>
      <c r="M63" s="102">
        <f>-M25</f>
        <v>0</v>
      </c>
      <c r="N63" s="183"/>
      <c r="O63" s="70"/>
      <c r="P63" s="99"/>
    </row>
    <row r="64" spans="2:16" ht="9.75">
      <c r="B64" s="16"/>
      <c r="C64" s="69">
        <f>IF(AND($F$42&lt;&gt;"",IF($F$10=0,$F$8,$F$34)&gt;$F$42),$F$42,IF($F$10=0,$F8,$F34))</f>
        <v>0</v>
      </c>
      <c r="D64" s="2"/>
      <c r="E64" s="259"/>
      <c r="F64" s="29">
        <f>IF(OR(C64=0,E64=0),0,$F$17-($F$18*E64*365/360))</f>
        <v>0</v>
      </c>
      <c r="G64" s="29">
        <f aca="true" t="shared" si="1" ref="G64:G95">IF(OR(C64=0,C64=$F$42),0,IF(C64&gt;MAX($H$8:$H$35),(IF(E64=0,0,IF(F64&gt;$F$20/$F$10,$F$20*(1-$C$12)/$F$10,IF(F64&lt;$F$16/$F$10,$F$16*(1-$C$12)/$F$10,F64*(1-$C$12))))),IF(VLOOKUP(C64,$H$8:$I$35,2,FALSE)&lt;&gt;0,VLOOKUP(C64,$H$8:$I$35,2,FALSE)*(1-$C$12),IF(E64=0,0,IF(F64&gt;$F$20/$F$10,$F$20*(1-$C$12)/$F$10,IF(F64&lt;$F$16/$F$10,$F$16*(1-$C$12)/$F$10,F64*(1-$C$12)))))))</f>
        <v>0</v>
      </c>
      <c r="H64" s="52">
        <f aca="true" t="shared" si="2" ref="H64:H95">IF(AND(C64=0,G64=0),0,IF(AND(C64=$F$8,$F$42=""),G64*100+$F$32,IF(AND(C64&lt;$F$8,$F$42=""),G64*100,IF(C64=$F$42,$F$54+G64*100,G64*100))))</f>
        <v>0</v>
      </c>
      <c r="I64" s="299"/>
      <c r="J64" s="22"/>
      <c r="K64" s="91"/>
      <c r="L64" s="101">
        <f t="shared" si="0"/>
        <v>0</v>
      </c>
      <c r="M64" s="102">
        <f aca="true" t="shared" si="3" ref="M64:M95">IF(L64=0,0,IF(OR(L64=$F$42,L64=$F$8),$M$54,H64*$M$16/100-$M$41))</f>
        <v>0</v>
      </c>
      <c r="N64" s="183"/>
      <c r="O64" s="71"/>
      <c r="P64" s="22"/>
    </row>
    <row r="65" spans="2:16" ht="9.75">
      <c r="B65" s="16"/>
      <c r="C65" s="69">
        <f>IF(OR(C64=$F$8,C64=$F$42),0,IF(C64=$F$42,0,IF(AND(COUPNCD(C64,$F$8,$F$10,1)&gt;$F$42,$F$42&lt;&gt;""),$F$42,(IF(C64=0,0,IF(C64=$F$8,0,COUPNCD(C64,$F$8,$F$10,1)))))))</f>
        <v>0</v>
      </c>
      <c r="D65" s="2"/>
      <c r="E65" s="259"/>
      <c r="F65" s="29">
        <f aca="true" t="shared" si="4" ref="F65:F123">IF(OR(C65=0,E65=0),0,$F$17-($F$18*E65*365/360))</f>
        <v>0</v>
      </c>
      <c r="G65" s="29">
        <f t="shared" si="1"/>
        <v>0</v>
      </c>
      <c r="H65" s="52">
        <f t="shared" si="2"/>
        <v>0</v>
      </c>
      <c r="I65" s="299"/>
      <c r="J65" s="22"/>
      <c r="K65" s="91"/>
      <c r="L65" s="101">
        <f t="shared" si="0"/>
        <v>0</v>
      </c>
      <c r="M65" s="102">
        <f t="shared" si="3"/>
        <v>0</v>
      </c>
      <c r="N65" s="183"/>
      <c r="O65" s="71"/>
      <c r="P65" s="22"/>
    </row>
    <row r="66" spans="2:16" ht="9.75">
      <c r="B66" s="16"/>
      <c r="C66" s="69">
        <f>IF(OR(C65=$F$8,C65=$F$42,C65=0),0,IF(C65=$F$42,0,IF(AND(COUPNCD(C65,$F$8,$F$10,1)&gt;$F$42,$F$42&lt;&gt;""),$F$42,(IF(C65=0,0,IF(C65=$F$8,0,COUPNCD(C65,$F$8,$F$10,1)))))))</f>
        <v>0</v>
      </c>
      <c r="D66" s="2"/>
      <c r="E66" s="259"/>
      <c r="F66" s="29">
        <f t="shared" si="4"/>
        <v>0</v>
      </c>
      <c r="G66" s="29">
        <f t="shared" si="1"/>
        <v>0</v>
      </c>
      <c r="H66" s="52">
        <f t="shared" si="2"/>
        <v>0</v>
      </c>
      <c r="I66" s="299"/>
      <c r="J66" s="22"/>
      <c r="K66" s="91"/>
      <c r="L66" s="101">
        <f t="shared" si="0"/>
        <v>0</v>
      </c>
      <c r="M66" s="102">
        <f t="shared" si="3"/>
        <v>0</v>
      </c>
      <c r="N66" s="183"/>
      <c r="O66" s="71"/>
      <c r="P66" s="22"/>
    </row>
    <row r="67" spans="2:16" ht="9.75">
      <c r="B67" s="16"/>
      <c r="C67" s="69">
        <f>IF(OR(C66=$F$8,C66=$F$42,C66=0),0,IF(C66=$F$42,0,IF(AND(COUPNCD(C66,$F$8,$F$10,1)&gt;$F$42,$F$42&lt;&gt;""),$F$42,(IF(C66=0,0,IF(C66=$F$8,0,COUPNCD(C66,$F$8,$F$10,1)))))))</f>
        <v>0</v>
      </c>
      <c r="D67" s="2"/>
      <c r="E67" s="259"/>
      <c r="F67" s="29">
        <f t="shared" si="4"/>
        <v>0</v>
      </c>
      <c r="G67" s="29">
        <f t="shared" si="1"/>
        <v>0</v>
      </c>
      <c r="H67" s="52">
        <f t="shared" si="2"/>
        <v>0</v>
      </c>
      <c r="I67" s="299"/>
      <c r="J67" s="22"/>
      <c r="K67" s="91"/>
      <c r="L67" s="101">
        <f t="shared" si="0"/>
        <v>0</v>
      </c>
      <c r="M67" s="102">
        <f t="shared" si="3"/>
        <v>0</v>
      </c>
      <c r="N67" s="183"/>
      <c r="O67" s="71"/>
      <c r="P67" s="22"/>
    </row>
    <row r="68" spans="2:16" ht="9.75">
      <c r="B68" s="16"/>
      <c r="C68" s="69">
        <f>IF(OR(C67=$F$8,C67=$F$42,C67=0),0,IF(C67=$F$42,0,IF(AND(COUPNCD(C67,$F$8,$F$10,1)&gt;$F$42,$F$42&lt;&gt;""),$F$42,(IF(C67=0,0,IF(C67=$F$8,0,COUPNCD(C67,$F$8,$F$10,1)))))))</f>
        <v>0</v>
      </c>
      <c r="D68" s="2"/>
      <c r="E68" s="259"/>
      <c r="F68" s="29">
        <f t="shared" si="4"/>
        <v>0</v>
      </c>
      <c r="G68" s="29">
        <f t="shared" si="1"/>
        <v>0</v>
      </c>
      <c r="H68" s="52">
        <f t="shared" si="2"/>
        <v>0</v>
      </c>
      <c r="I68" s="299"/>
      <c r="J68" s="22"/>
      <c r="K68" s="91"/>
      <c r="L68" s="101">
        <f t="shared" si="0"/>
        <v>0</v>
      </c>
      <c r="M68" s="102">
        <f t="shared" si="3"/>
        <v>0</v>
      </c>
      <c r="N68" s="183"/>
      <c r="O68" s="71"/>
      <c r="P68" s="22"/>
    </row>
    <row r="69" spans="2:16" ht="9.75">
      <c r="B69" s="16"/>
      <c r="C69" s="69">
        <f>IF(OR(C68=$F$8,C68=$F$42,C68=0),0,IF(C68=$F$42,0,IF(AND(COUPNCD(C68,$F$8,$F$10,1)&gt;$F$42,$F$42&lt;&gt;""),$F$42,(IF(C68=0,0,IF(C68=$F$8,0,COUPNCD(C68,$F$8,$F$10,1)))))))</f>
        <v>0</v>
      </c>
      <c r="D69" s="2"/>
      <c r="E69" s="259"/>
      <c r="F69" s="29">
        <f t="shared" si="4"/>
        <v>0</v>
      </c>
      <c r="G69" s="29">
        <f t="shared" si="1"/>
        <v>0</v>
      </c>
      <c r="H69" s="52">
        <f t="shared" si="2"/>
        <v>0</v>
      </c>
      <c r="I69" s="299"/>
      <c r="J69" s="22"/>
      <c r="K69" s="91"/>
      <c r="L69" s="101">
        <f t="shared" si="0"/>
        <v>0</v>
      </c>
      <c r="M69" s="102">
        <f t="shared" si="3"/>
        <v>0</v>
      </c>
      <c r="N69" s="183"/>
      <c r="O69" s="71"/>
      <c r="P69" s="22"/>
    </row>
    <row r="70" spans="2:16" ht="9.75">
      <c r="B70" s="16"/>
      <c r="C70" s="69">
        <f>IF(OR(C69=$F$8,C69=$F$42,C69=0),0,IF(C69=$F$42,0,IF(AND(COUPNCD(C69,$F$8,$F$10,1)&gt;$F$42,$F$42&lt;&gt;""),$F$42,(IF(C69=0,0,IF(C69=$F$8,0,COUPNCD(C69,$F$8,$F$10,1)))))))</f>
        <v>0</v>
      </c>
      <c r="D70" s="2"/>
      <c r="E70" s="259"/>
      <c r="F70" s="29">
        <f t="shared" si="4"/>
        <v>0</v>
      </c>
      <c r="G70" s="29">
        <f t="shared" si="1"/>
        <v>0</v>
      </c>
      <c r="H70" s="52">
        <f t="shared" si="2"/>
        <v>0</v>
      </c>
      <c r="I70" s="299"/>
      <c r="J70" s="22"/>
      <c r="K70" s="91"/>
      <c r="L70" s="101">
        <f t="shared" si="0"/>
        <v>0</v>
      </c>
      <c r="M70" s="102">
        <f t="shared" si="3"/>
        <v>0</v>
      </c>
      <c r="N70" s="183"/>
      <c r="O70" s="71"/>
      <c r="P70" s="22"/>
    </row>
    <row r="71" spans="2:16" ht="9.75">
      <c r="B71" s="16"/>
      <c r="C71" s="69">
        <f>IF(OR(C70=$F$8,C70=$F$42,C70=0),0,IF(C70=$F$42,0,IF(AND(COUPNCD(C70,$F$8,$F$10,1)&gt;$F$42,$F$42&lt;&gt;""),$F$42,(IF(C70=0,0,IF(C70=$F$8,0,COUPNCD(C70,$F$8,$F$10,1)))))))</f>
        <v>0</v>
      </c>
      <c r="D71" s="2"/>
      <c r="E71" s="259"/>
      <c r="F71" s="29">
        <f t="shared" si="4"/>
        <v>0</v>
      </c>
      <c r="G71" s="29">
        <f t="shared" si="1"/>
        <v>0</v>
      </c>
      <c r="H71" s="52">
        <f t="shared" si="2"/>
        <v>0</v>
      </c>
      <c r="I71" s="299"/>
      <c r="J71" s="22"/>
      <c r="K71" s="91"/>
      <c r="L71" s="101">
        <f t="shared" si="0"/>
        <v>0</v>
      </c>
      <c r="M71" s="102">
        <f t="shared" si="3"/>
        <v>0</v>
      </c>
      <c r="N71" s="183"/>
      <c r="O71" s="71"/>
      <c r="P71" s="22"/>
    </row>
    <row r="72" spans="2:19" ht="9.75">
      <c r="B72" s="16"/>
      <c r="C72" s="69">
        <f>IF(OR(C71=$F$8,C71=$F$42,C71=0),0,IF(C71=$F$42,0,IF(AND(COUPNCD(C71,$F$8,$F$10,1)&gt;$F$42,$F$42&lt;&gt;""),$F$42,(IF(C71=0,0,IF(C71=$F$8,0,COUPNCD(C71,$F$8,$F$10,1)))))))</f>
        <v>0</v>
      </c>
      <c r="D72" s="2"/>
      <c r="E72" s="259"/>
      <c r="F72" s="29">
        <f t="shared" si="4"/>
        <v>0</v>
      </c>
      <c r="G72" s="29">
        <f t="shared" si="1"/>
        <v>0</v>
      </c>
      <c r="H72" s="52">
        <f t="shared" si="2"/>
        <v>0</v>
      </c>
      <c r="I72" s="299"/>
      <c r="J72" s="22"/>
      <c r="K72" s="91"/>
      <c r="L72" s="101">
        <f t="shared" si="0"/>
        <v>0</v>
      </c>
      <c r="M72" s="102">
        <f t="shared" si="3"/>
        <v>0</v>
      </c>
      <c r="N72" s="183"/>
      <c r="O72" s="71"/>
      <c r="P72" s="22"/>
      <c r="S72" s="122"/>
    </row>
    <row r="73" spans="2:16" ht="9.75">
      <c r="B73" s="16"/>
      <c r="C73" s="69">
        <f>IF(OR(C72=$F$8,C72=$F$42,C72=0),0,IF(C72=$F$42,0,IF(AND(COUPNCD(C72,$F$8,$F$10,1)&gt;$F$42,$F$42&lt;&gt;""),$F$42,(IF(C72=0,0,IF(C72=$F$8,0,COUPNCD(C72,$F$8,$F$10,1)))))))</f>
        <v>0</v>
      </c>
      <c r="D73" s="2"/>
      <c r="E73" s="259"/>
      <c r="F73" s="29">
        <f t="shared" si="4"/>
        <v>0</v>
      </c>
      <c r="G73" s="29">
        <f t="shared" si="1"/>
        <v>0</v>
      </c>
      <c r="H73" s="52">
        <f t="shared" si="2"/>
        <v>0</v>
      </c>
      <c r="I73" s="299"/>
      <c r="J73" s="22"/>
      <c r="K73" s="91"/>
      <c r="L73" s="101">
        <f t="shared" si="0"/>
        <v>0</v>
      </c>
      <c r="M73" s="102">
        <f t="shared" si="3"/>
        <v>0</v>
      </c>
      <c r="N73" s="183"/>
      <c r="O73" s="71"/>
      <c r="P73" s="22"/>
    </row>
    <row r="74" spans="2:16" ht="9.75">
      <c r="B74" s="16"/>
      <c r="C74" s="69">
        <f>IF(OR(C73=$F$8,C73=$F$42,C73=0),0,IF(C73=$F$42,0,IF(AND(COUPNCD(C73,$F$8,$F$10,1)&gt;$F$42,$F$42&lt;&gt;""),$F$42,(IF(C73=0,0,IF(C73=$F$8,0,COUPNCD(C73,$F$8,$F$10,1)))))))</f>
        <v>0</v>
      </c>
      <c r="D74" s="2"/>
      <c r="E74" s="259"/>
      <c r="F74" s="29">
        <f t="shared" si="4"/>
        <v>0</v>
      </c>
      <c r="G74" s="29">
        <f t="shared" si="1"/>
        <v>0</v>
      </c>
      <c r="H74" s="52">
        <f t="shared" si="2"/>
        <v>0</v>
      </c>
      <c r="I74" s="299"/>
      <c r="J74" s="22"/>
      <c r="K74" s="91"/>
      <c r="L74" s="101">
        <f t="shared" si="0"/>
        <v>0</v>
      </c>
      <c r="M74" s="102">
        <f t="shared" si="3"/>
        <v>0</v>
      </c>
      <c r="N74" s="183"/>
      <c r="O74" s="71"/>
      <c r="P74" s="22"/>
    </row>
    <row r="75" spans="2:16" ht="9.75">
      <c r="B75" s="16"/>
      <c r="C75" s="69">
        <f>IF(OR(C74=$F$8,C74=$F$42,C74=0),0,IF(C74=$F$42,0,IF(AND(COUPNCD(C74,$F$8,$F$10,1)&gt;$F$42,$F$42&lt;&gt;""),$F$42,(IF(C74=0,0,IF(C74=$F$8,0,COUPNCD(C74,$F$8,$F$10,1)))))))</f>
        <v>0</v>
      </c>
      <c r="D75" s="2"/>
      <c r="E75" s="259"/>
      <c r="F75" s="29">
        <f t="shared" si="4"/>
        <v>0</v>
      </c>
      <c r="G75" s="29">
        <f t="shared" si="1"/>
        <v>0</v>
      </c>
      <c r="H75" s="52">
        <f t="shared" si="2"/>
        <v>0</v>
      </c>
      <c r="I75" s="299"/>
      <c r="J75" s="22"/>
      <c r="K75" s="91"/>
      <c r="L75" s="101">
        <f t="shared" si="0"/>
        <v>0</v>
      </c>
      <c r="M75" s="102">
        <f t="shared" si="3"/>
        <v>0</v>
      </c>
      <c r="N75" s="183"/>
      <c r="O75" s="71"/>
      <c r="P75" s="22"/>
    </row>
    <row r="76" spans="2:16" ht="9.75">
      <c r="B76" s="16"/>
      <c r="C76" s="69">
        <f>IF(OR(C75=$F$8,C75=$F$42,C75=0),0,IF(C75=$F$42,0,IF(AND(COUPNCD(C75,$F$8,$F$10,1)&gt;$F$42,$F$42&lt;&gt;""),$F$42,(IF(C75=0,0,IF(C75=$F$8,0,COUPNCD(C75,$F$8,$F$10,1)))))))</f>
        <v>0</v>
      </c>
      <c r="D76" s="2"/>
      <c r="E76" s="259"/>
      <c r="F76" s="29">
        <f t="shared" si="4"/>
        <v>0</v>
      </c>
      <c r="G76" s="29">
        <f t="shared" si="1"/>
        <v>0</v>
      </c>
      <c r="H76" s="52">
        <f t="shared" si="2"/>
        <v>0</v>
      </c>
      <c r="I76" s="299"/>
      <c r="J76" s="22"/>
      <c r="K76" s="91"/>
      <c r="L76" s="101">
        <f t="shared" si="0"/>
        <v>0</v>
      </c>
      <c r="M76" s="102">
        <f t="shared" si="3"/>
        <v>0</v>
      </c>
      <c r="N76" s="183"/>
      <c r="O76" s="71"/>
      <c r="P76" s="22"/>
    </row>
    <row r="77" spans="2:16" ht="9.75">
      <c r="B77" s="16"/>
      <c r="C77" s="69">
        <f>IF(OR(C76=$F$8,C76=$F$42,C76=0),0,IF(C76=$F$42,0,IF(AND(COUPNCD(C76,$F$8,$F$10,1)&gt;$F$42,$F$42&lt;&gt;""),$F$42,(IF(C76=0,0,IF(C76=$F$8,0,COUPNCD(C76,$F$8,$F$10,1)))))))</f>
        <v>0</v>
      </c>
      <c r="D77" s="2"/>
      <c r="E77" s="259"/>
      <c r="F77" s="29">
        <f t="shared" si="4"/>
        <v>0</v>
      </c>
      <c r="G77" s="29">
        <f t="shared" si="1"/>
        <v>0</v>
      </c>
      <c r="H77" s="52">
        <f t="shared" si="2"/>
        <v>0</v>
      </c>
      <c r="I77" s="299"/>
      <c r="J77" s="22"/>
      <c r="K77" s="91"/>
      <c r="L77" s="101">
        <f t="shared" si="0"/>
        <v>0</v>
      </c>
      <c r="M77" s="102">
        <f t="shared" si="3"/>
        <v>0</v>
      </c>
      <c r="N77" s="183"/>
      <c r="O77" s="71"/>
      <c r="P77" s="22"/>
    </row>
    <row r="78" spans="2:16" ht="9.75">
      <c r="B78" s="16"/>
      <c r="C78" s="69">
        <f>IF(OR(C77=$F$8,C77=$F$42,C77=0),0,IF(C77=$F$42,0,IF(AND(COUPNCD(C77,$F$8,$F$10,1)&gt;$F$42,$F$42&lt;&gt;""),$F$42,(IF(C77=0,0,IF(C77=$F$8,0,COUPNCD(C77,$F$8,$F$10,1)))))))</f>
        <v>0</v>
      </c>
      <c r="D78" s="2"/>
      <c r="E78" s="259"/>
      <c r="F78" s="29">
        <f t="shared" si="4"/>
        <v>0</v>
      </c>
      <c r="G78" s="29">
        <f t="shared" si="1"/>
        <v>0</v>
      </c>
      <c r="H78" s="52">
        <f t="shared" si="2"/>
        <v>0</v>
      </c>
      <c r="I78" s="299"/>
      <c r="J78" s="22"/>
      <c r="K78" s="91"/>
      <c r="L78" s="101">
        <f t="shared" si="0"/>
        <v>0</v>
      </c>
      <c r="M78" s="102">
        <f t="shared" si="3"/>
        <v>0</v>
      </c>
      <c r="N78" s="183"/>
      <c r="O78" s="71"/>
      <c r="P78" s="22"/>
    </row>
    <row r="79" spans="2:16" ht="9.75">
      <c r="B79" s="16"/>
      <c r="C79" s="69">
        <f>IF(OR(C78=$F$8,C78=$F$42,C78=0),0,IF(C78=$F$42,0,IF(AND(COUPNCD(C78,$F$8,$F$10,1)&gt;$F$42,$F$42&lt;&gt;""),$F$42,(IF(C78=0,0,IF(C78=$F$8,0,COUPNCD(C78,$F$8,$F$10,1)))))))</f>
        <v>0</v>
      </c>
      <c r="D79" s="2"/>
      <c r="E79" s="259"/>
      <c r="F79" s="29">
        <f t="shared" si="4"/>
        <v>0</v>
      </c>
      <c r="G79" s="29">
        <f t="shared" si="1"/>
        <v>0</v>
      </c>
      <c r="H79" s="52">
        <f t="shared" si="2"/>
        <v>0</v>
      </c>
      <c r="I79" s="299"/>
      <c r="J79" s="22"/>
      <c r="K79" s="91"/>
      <c r="L79" s="101">
        <f t="shared" si="0"/>
        <v>0</v>
      </c>
      <c r="M79" s="102">
        <f t="shared" si="3"/>
        <v>0</v>
      </c>
      <c r="N79" s="183"/>
      <c r="O79" s="71"/>
      <c r="P79" s="22"/>
    </row>
    <row r="80" spans="2:16" ht="9.75">
      <c r="B80" s="16"/>
      <c r="C80" s="69">
        <f>IF(OR(C79=$F$8,C79=$F$42,C79=0),0,IF(C79=$F$42,0,IF(AND(COUPNCD(C79,$F$8,$F$10,1)&gt;$F$42,$F$42&lt;&gt;""),$F$42,(IF(C79=0,0,IF(C79=$F$8,0,COUPNCD(C79,$F$8,$F$10,1)))))))</f>
        <v>0</v>
      </c>
      <c r="D80" s="2"/>
      <c r="E80" s="259"/>
      <c r="F80" s="29">
        <f t="shared" si="4"/>
        <v>0</v>
      </c>
      <c r="G80" s="29">
        <f t="shared" si="1"/>
        <v>0</v>
      </c>
      <c r="H80" s="52">
        <f t="shared" si="2"/>
        <v>0</v>
      </c>
      <c r="I80" s="299"/>
      <c r="J80" s="22"/>
      <c r="K80" s="91"/>
      <c r="L80" s="101">
        <f t="shared" si="0"/>
        <v>0</v>
      </c>
      <c r="M80" s="102">
        <f t="shared" si="3"/>
        <v>0</v>
      </c>
      <c r="N80" s="183"/>
      <c r="O80" s="71"/>
      <c r="P80" s="22"/>
    </row>
    <row r="81" spans="2:16" ht="9.75">
      <c r="B81" s="16"/>
      <c r="C81" s="69">
        <f>IF(OR(C80=$F$8,C80=$F$42,C80=0),0,IF(C80=$F$42,0,IF(AND(COUPNCD(C80,$F$8,$F$10,1)&gt;$F$42,$F$42&lt;&gt;""),$F$42,(IF(C80=0,0,IF(C80=$F$8,0,COUPNCD(C80,$F$8,$F$10,1)))))))</f>
        <v>0</v>
      </c>
      <c r="D81" s="2"/>
      <c r="E81" s="259"/>
      <c r="F81" s="29">
        <f t="shared" si="4"/>
        <v>0</v>
      </c>
      <c r="G81" s="29">
        <f t="shared" si="1"/>
        <v>0</v>
      </c>
      <c r="H81" s="52">
        <f t="shared" si="2"/>
        <v>0</v>
      </c>
      <c r="I81" s="299"/>
      <c r="J81" s="22"/>
      <c r="K81" s="91"/>
      <c r="L81" s="101">
        <f t="shared" si="0"/>
        <v>0</v>
      </c>
      <c r="M81" s="102">
        <f t="shared" si="3"/>
        <v>0</v>
      </c>
      <c r="N81" s="183"/>
      <c r="O81" s="71"/>
      <c r="P81" s="22"/>
    </row>
    <row r="82" spans="2:16" ht="9.75">
      <c r="B82" s="16"/>
      <c r="C82" s="69">
        <f>IF(OR(C81=$F$8,C81=$F$42,C81=0),0,IF(C81=$F$42,0,IF(AND(COUPNCD(C81,$F$8,$F$10,1)&gt;$F$42,$F$42&lt;&gt;""),$F$42,(IF(C81=0,0,IF(C81=$F$8,0,COUPNCD(C81,$F$8,$F$10,1)))))))</f>
        <v>0</v>
      </c>
      <c r="D82" s="2"/>
      <c r="E82" s="259"/>
      <c r="F82" s="29">
        <f t="shared" si="4"/>
        <v>0</v>
      </c>
      <c r="G82" s="29">
        <f t="shared" si="1"/>
        <v>0</v>
      </c>
      <c r="H82" s="52">
        <f t="shared" si="2"/>
        <v>0</v>
      </c>
      <c r="I82" s="299"/>
      <c r="J82" s="22"/>
      <c r="K82" s="91"/>
      <c r="L82" s="101">
        <f t="shared" si="0"/>
        <v>0</v>
      </c>
      <c r="M82" s="102">
        <f t="shared" si="3"/>
        <v>0</v>
      </c>
      <c r="N82" s="183"/>
      <c r="O82" s="71"/>
      <c r="P82" s="22"/>
    </row>
    <row r="83" spans="2:16" ht="9.75">
      <c r="B83" s="16"/>
      <c r="C83" s="69">
        <f>IF(OR(C82=$F$8,C82=$F$42,C82=0),0,IF(C82=$F$42,0,IF(AND(COUPNCD(C82,$F$8,$F$10,1)&gt;$F$42,$F$42&lt;&gt;""),$F$42,(IF(C82=0,0,IF(C82=$F$8,0,COUPNCD(C82,$F$8,$F$10,1)))))))</f>
        <v>0</v>
      </c>
      <c r="D83" s="2"/>
      <c r="E83" s="259"/>
      <c r="F83" s="29">
        <f t="shared" si="4"/>
        <v>0</v>
      </c>
      <c r="G83" s="29">
        <f t="shared" si="1"/>
        <v>0</v>
      </c>
      <c r="H83" s="52">
        <f t="shared" si="2"/>
        <v>0</v>
      </c>
      <c r="I83" s="299"/>
      <c r="J83" s="22"/>
      <c r="K83" s="91"/>
      <c r="L83" s="101">
        <f t="shared" si="0"/>
        <v>0</v>
      </c>
      <c r="M83" s="102">
        <f t="shared" si="3"/>
        <v>0</v>
      </c>
      <c r="N83" s="183"/>
      <c r="O83" s="71"/>
      <c r="P83" s="22"/>
    </row>
    <row r="84" spans="2:16" ht="9.75">
      <c r="B84" s="16"/>
      <c r="C84" s="69">
        <f>IF(OR(C83=$F$8,C83=$F$42,C83=0),0,IF(C83=$F$42,0,IF(AND(COUPNCD(C83,$F$8,$F$10,1)&gt;$F$42,$F$42&lt;&gt;""),$F$42,(IF(C83=0,0,IF(C83=$F$8,0,COUPNCD(C83,$F$8,$F$10,1)))))))</f>
        <v>0</v>
      </c>
      <c r="D84" s="2"/>
      <c r="E84" s="259"/>
      <c r="F84" s="29">
        <f t="shared" si="4"/>
        <v>0</v>
      </c>
      <c r="G84" s="29">
        <f t="shared" si="1"/>
        <v>0</v>
      </c>
      <c r="H84" s="52">
        <f t="shared" si="2"/>
        <v>0</v>
      </c>
      <c r="I84" s="299"/>
      <c r="J84" s="22"/>
      <c r="K84" s="91"/>
      <c r="L84" s="101">
        <f t="shared" si="0"/>
        <v>0</v>
      </c>
      <c r="M84" s="102">
        <f t="shared" si="3"/>
        <v>0</v>
      </c>
      <c r="N84" s="183"/>
      <c r="O84" s="71"/>
      <c r="P84" s="22"/>
    </row>
    <row r="85" spans="2:16" ht="9.75">
      <c r="B85" s="16"/>
      <c r="C85" s="69">
        <f>IF(OR(C84=$F$8,C84=$F$42,C84=0),0,IF(C84=$F$42,0,IF(AND(COUPNCD(C84,$F$8,$F$10,1)&gt;$F$42,$F$42&lt;&gt;""),$F$42,(IF(C84=0,0,IF(C84=$F$8,0,COUPNCD(C84,$F$8,$F$10,1)))))))</f>
        <v>0</v>
      </c>
      <c r="D85" s="2"/>
      <c r="E85" s="259"/>
      <c r="F85" s="29">
        <f t="shared" si="4"/>
        <v>0</v>
      </c>
      <c r="G85" s="29">
        <f t="shared" si="1"/>
        <v>0</v>
      </c>
      <c r="H85" s="52">
        <f t="shared" si="2"/>
        <v>0</v>
      </c>
      <c r="I85" s="299"/>
      <c r="J85" s="22"/>
      <c r="K85" s="91"/>
      <c r="L85" s="101">
        <f t="shared" si="0"/>
        <v>0</v>
      </c>
      <c r="M85" s="102">
        <f t="shared" si="3"/>
        <v>0</v>
      </c>
      <c r="N85" s="183"/>
      <c r="O85" s="71"/>
      <c r="P85" s="22"/>
    </row>
    <row r="86" spans="2:16" ht="9.75">
      <c r="B86" s="16"/>
      <c r="C86" s="69">
        <f>IF(OR(C85=$F$8,C85=$F$42,C85=0),0,IF(C85=$F$42,0,IF(AND(COUPNCD(C85,$F$8,$F$10,1)&gt;$F$42,$F$42&lt;&gt;""),$F$42,(IF(C85=0,0,IF(C85=$F$8,0,COUPNCD(C85,$F$8,$F$10,1)))))))</f>
        <v>0</v>
      </c>
      <c r="D86" s="2"/>
      <c r="E86" s="259"/>
      <c r="F86" s="29">
        <f t="shared" si="4"/>
        <v>0</v>
      </c>
      <c r="G86" s="29">
        <f t="shared" si="1"/>
        <v>0</v>
      </c>
      <c r="H86" s="52">
        <f t="shared" si="2"/>
        <v>0</v>
      </c>
      <c r="I86" s="299"/>
      <c r="J86" s="22"/>
      <c r="K86" s="91"/>
      <c r="L86" s="101">
        <f t="shared" si="0"/>
        <v>0</v>
      </c>
      <c r="M86" s="102">
        <f t="shared" si="3"/>
        <v>0</v>
      </c>
      <c r="N86" s="183"/>
      <c r="O86" s="71"/>
      <c r="P86" s="22"/>
    </row>
    <row r="87" spans="2:16" ht="9.75">
      <c r="B87" s="16"/>
      <c r="C87" s="69">
        <f>IF(OR(C86=$F$8,C86=$F$42,C86=0),0,IF(C86=$F$42,0,IF(AND(COUPNCD(C86,$F$8,$F$10,1)&gt;$F$42,$F$42&lt;&gt;""),$F$42,(IF(C86=0,0,IF(C86=$F$8,0,COUPNCD(C86,$F$8,$F$10,1)))))))</f>
        <v>0</v>
      </c>
      <c r="D87" s="2"/>
      <c r="E87" s="259"/>
      <c r="F87" s="29">
        <f t="shared" si="4"/>
        <v>0</v>
      </c>
      <c r="G87" s="29">
        <f t="shared" si="1"/>
        <v>0</v>
      </c>
      <c r="H87" s="52">
        <f t="shared" si="2"/>
        <v>0</v>
      </c>
      <c r="I87" s="299"/>
      <c r="J87" s="22"/>
      <c r="K87" s="91"/>
      <c r="L87" s="101">
        <f t="shared" si="0"/>
        <v>0</v>
      </c>
      <c r="M87" s="102">
        <f t="shared" si="3"/>
        <v>0</v>
      </c>
      <c r="N87" s="183"/>
      <c r="O87" s="71"/>
      <c r="P87" s="22"/>
    </row>
    <row r="88" spans="2:16" ht="9.75">
      <c r="B88" s="16"/>
      <c r="C88" s="69">
        <f>IF(OR(C87=$F$8,C87=$F$42,C87=0),0,IF(C87=$F$42,0,IF(AND(COUPNCD(C87,$F$8,$F$10,1)&gt;$F$42,$F$42&lt;&gt;""),$F$42,(IF(C87=0,0,IF(C87=$F$8,0,COUPNCD(C87,$F$8,$F$10,1)))))))</f>
        <v>0</v>
      </c>
      <c r="D88" s="2"/>
      <c r="E88" s="259"/>
      <c r="F88" s="29">
        <f t="shared" si="4"/>
        <v>0</v>
      </c>
      <c r="G88" s="29">
        <f t="shared" si="1"/>
        <v>0</v>
      </c>
      <c r="H88" s="52">
        <f t="shared" si="2"/>
        <v>0</v>
      </c>
      <c r="I88" s="299"/>
      <c r="J88" s="22"/>
      <c r="K88" s="91"/>
      <c r="L88" s="101">
        <f t="shared" si="0"/>
        <v>0</v>
      </c>
      <c r="M88" s="102">
        <f t="shared" si="3"/>
        <v>0</v>
      </c>
      <c r="N88" s="183"/>
      <c r="O88" s="71"/>
      <c r="P88" s="22"/>
    </row>
    <row r="89" spans="2:16" ht="9.75">
      <c r="B89" s="16"/>
      <c r="C89" s="69">
        <f>IF(OR(C88=$F$8,C88=$F$42,C88=0),0,IF(C88=$F$42,0,IF(AND(COUPNCD(C88,$F$8,$F$10,1)&gt;$F$42,$F$42&lt;&gt;""),$F$42,(IF(C88=0,0,IF(C88=$F$8,0,COUPNCD(C88,$F$8,$F$10,1)))))))</f>
        <v>0</v>
      </c>
      <c r="D89" s="2"/>
      <c r="E89" s="259"/>
      <c r="F89" s="29">
        <f t="shared" si="4"/>
        <v>0</v>
      </c>
      <c r="G89" s="29">
        <f t="shared" si="1"/>
        <v>0</v>
      </c>
      <c r="H89" s="52">
        <f t="shared" si="2"/>
        <v>0</v>
      </c>
      <c r="I89" s="299"/>
      <c r="J89" s="22"/>
      <c r="K89" s="91"/>
      <c r="L89" s="101">
        <f t="shared" si="0"/>
        <v>0</v>
      </c>
      <c r="M89" s="102">
        <f t="shared" si="3"/>
        <v>0</v>
      </c>
      <c r="N89" s="183"/>
      <c r="O89" s="71"/>
      <c r="P89" s="22"/>
    </row>
    <row r="90" spans="2:16" ht="9.75">
      <c r="B90" s="16"/>
      <c r="C90" s="69">
        <f>IF(OR(C89=$F$8,C89=$F$42,C89=0),0,IF(C89=$F$42,0,IF(AND(COUPNCD(C89,$F$8,$F$10,1)&gt;$F$42,$F$42&lt;&gt;""),$F$42,(IF(C89=0,0,IF(C89=$F$8,0,COUPNCD(C89,$F$8,$F$10,1)))))))</f>
        <v>0</v>
      </c>
      <c r="D90" s="2"/>
      <c r="E90" s="259"/>
      <c r="F90" s="29">
        <f t="shared" si="4"/>
        <v>0</v>
      </c>
      <c r="G90" s="29">
        <f t="shared" si="1"/>
        <v>0</v>
      </c>
      <c r="H90" s="52">
        <f t="shared" si="2"/>
        <v>0</v>
      </c>
      <c r="I90" s="299"/>
      <c r="J90" s="22"/>
      <c r="K90" s="91"/>
      <c r="L90" s="101">
        <f t="shared" si="0"/>
        <v>0</v>
      </c>
      <c r="M90" s="102">
        <f t="shared" si="3"/>
        <v>0</v>
      </c>
      <c r="N90" s="183"/>
      <c r="O90" s="71"/>
      <c r="P90" s="22"/>
    </row>
    <row r="91" spans="2:16" ht="9.75">
      <c r="B91" s="16"/>
      <c r="C91" s="69">
        <f>IF(OR(C90=$F$8,C90=$F$42,C90=0),0,IF(C90=$F$42,0,IF(AND(COUPNCD(C90,$F$8,$F$10,1)&gt;$F$42,$F$42&lt;&gt;""),$F$42,(IF(C90=0,0,IF(C90=$F$8,0,COUPNCD(C90,$F$8,$F$10,1)))))))</f>
        <v>0</v>
      </c>
      <c r="D91" s="2"/>
      <c r="E91" s="259"/>
      <c r="F91" s="29">
        <f t="shared" si="4"/>
        <v>0</v>
      </c>
      <c r="G91" s="29">
        <f t="shared" si="1"/>
        <v>0</v>
      </c>
      <c r="H91" s="52">
        <f t="shared" si="2"/>
        <v>0</v>
      </c>
      <c r="I91" s="299"/>
      <c r="J91" s="22"/>
      <c r="K91" s="91"/>
      <c r="L91" s="101">
        <f t="shared" si="0"/>
        <v>0</v>
      </c>
      <c r="M91" s="102">
        <f t="shared" si="3"/>
        <v>0</v>
      </c>
      <c r="N91" s="183"/>
      <c r="O91" s="71"/>
      <c r="P91" s="22"/>
    </row>
    <row r="92" spans="2:16" ht="9.75">
      <c r="B92" s="16"/>
      <c r="C92" s="69">
        <f>IF(OR(C91=$F$8,C91=$F$42,C91=0),0,IF(C91=$F$42,0,IF(AND(COUPNCD(C91,$F$8,$F$10,1)&gt;$F$42,$F$42&lt;&gt;""),$F$42,(IF(C91=0,0,IF(C91=$F$8,0,COUPNCD(C91,$F$8,$F$10,1)))))))</f>
        <v>0</v>
      </c>
      <c r="D92" s="2"/>
      <c r="E92" s="259"/>
      <c r="F92" s="29">
        <f t="shared" si="4"/>
        <v>0</v>
      </c>
      <c r="G92" s="29">
        <f t="shared" si="1"/>
        <v>0</v>
      </c>
      <c r="H92" s="52">
        <f t="shared" si="2"/>
        <v>0</v>
      </c>
      <c r="I92" s="299"/>
      <c r="J92" s="22"/>
      <c r="K92" s="91"/>
      <c r="L92" s="101">
        <f t="shared" si="0"/>
        <v>0</v>
      </c>
      <c r="M92" s="102">
        <f t="shared" si="3"/>
        <v>0</v>
      </c>
      <c r="N92" s="183"/>
      <c r="O92" s="71"/>
      <c r="P92" s="22"/>
    </row>
    <row r="93" spans="2:16" ht="9.75">
      <c r="B93" s="16"/>
      <c r="C93" s="69">
        <f>IF(OR(C92=$F$8,C92=$F$42,C92=0),0,IF(C92=$F$42,0,IF(AND(COUPNCD(C92,$F$8,$F$10,1)&gt;$F$42,$F$42&lt;&gt;""),$F$42,(IF(C92=0,0,IF(C92=$F$8,0,COUPNCD(C92,$F$8,$F$10,1)))))))</f>
        <v>0</v>
      </c>
      <c r="D93" s="2"/>
      <c r="E93" s="259"/>
      <c r="F93" s="29">
        <f t="shared" si="4"/>
        <v>0</v>
      </c>
      <c r="G93" s="29">
        <f t="shared" si="1"/>
        <v>0</v>
      </c>
      <c r="H93" s="52">
        <f t="shared" si="2"/>
        <v>0</v>
      </c>
      <c r="I93" s="299"/>
      <c r="J93" s="22"/>
      <c r="K93" s="91"/>
      <c r="L93" s="101">
        <f t="shared" si="0"/>
        <v>0</v>
      </c>
      <c r="M93" s="102">
        <f t="shared" si="3"/>
        <v>0</v>
      </c>
      <c r="N93" s="183"/>
      <c r="O93" s="71"/>
      <c r="P93" s="22"/>
    </row>
    <row r="94" spans="2:16" ht="9.75">
      <c r="B94" s="16"/>
      <c r="C94" s="69">
        <f>IF(OR(C93=$F$8,C93=$F$42,C93=0),0,IF(C93=$F$42,0,IF(AND(COUPNCD(C93,$F$8,$F$10,1)&gt;$F$42,$F$42&lt;&gt;""),$F$42,(IF(C93=0,0,IF(C93=$F$8,0,COUPNCD(C93,$F$8,$F$10,1)))))))</f>
        <v>0</v>
      </c>
      <c r="D94" s="2"/>
      <c r="E94" s="259"/>
      <c r="F94" s="29">
        <f t="shared" si="4"/>
        <v>0</v>
      </c>
      <c r="G94" s="29">
        <f t="shared" si="1"/>
        <v>0</v>
      </c>
      <c r="H94" s="52">
        <f t="shared" si="2"/>
        <v>0</v>
      </c>
      <c r="I94" s="299"/>
      <c r="J94" s="22"/>
      <c r="K94" s="91"/>
      <c r="L94" s="101">
        <f t="shared" si="0"/>
        <v>0</v>
      </c>
      <c r="M94" s="102">
        <f t="shared" si="3"/>
        <v>0</v>
      </c>
      <c r="N94" s="183"/>
      <c r="O94" s="71"/>
      <c r="P94" s="22"/>
    </row>
    <row r="95" spans="2:16" ht="9.75">
      <c r="B95" s="16"/>
      <c r="C95" s="69">
        <f>IF(OR(C94=$F$8,C94=$F$42,C94=0),0,IF(C94=$F$42,0,IF(AND(COUPNCD(C94,$F$8,$F$10,1)&gt;$F$42,$F$42&lt;&gt;""),$F$42,(IF(C94=0,0,IF(C94=$F$8,0,COUPNCD(C94,$F$8,$F$10,1)))))))</f>
        <v>0</v>
      </c>
      <c r="D95" s="2"/>
      <c r="E95" s="259"/>
      <c r="F95" s="29">
        <f t="shared" si="4"/>
        <v>0</v>
      </c>
      <c r="G95" s="29">
        <f t="shared" si="1"/>
        <v>0</v>
      </c>
      <c r="H95" s="52">
        <f t="shared" si="2"/>
        <v>0</v>
      </c>
      <c r="I95" s="299"/>
      <c r="J95" s="22"/>
      <c r="K95" s="103"/>
      <c r="L95" s="101">
        <f aca="true" t="shared" si="5" ref="L95:L123">C95</f>
        <v>0</v>
      </c>
      <c r="M95" s="102">
        <f t="shared" si="3"/>
        <v>0</v>
      </c>
      <c r="N95" s="183"/>
      <c r="O95" s="71"/>
      <c r="P95" s="22"/>
    </row>
    <row r="96" spans="2:16" ht="9.75">
      <c r="B96" s="16"/>
      <c r="C96" s="69">
        <f>IF(OR(C95=$F$8,C95=$F$42,C95=0),0,IF(C95=$F$42,0,IF(AND(COUPNCD(C95,$F$8,$F$10,1)&gt;$F$42,$F$42&lt;&gt;""),$F$42,(IF(C95=0,0,IF(C95=$F$8,0,COUPNCD(C95,$F$8,$F$10,1)))))))</f>
        <v>0</v>
      </c>
      <c r="D96" s="2"/>
      <c r="E96" s="259"/>
      <c r="F96" s="29">
        <f t="shared" si="4"/>
        <v>0</v>
      </c>
      <c r="G96" s="29">
        <f aca="true" t="shared" si="6" ref="G96:G123">IF(OR(C96=0,C96=$F$42),0,IF(C96&gt;MAX($H$8:$H$35),(IF(E96=0,0,IF(F96&gt;$F$20/$F$10,$F$20*(1-$C$12)/$F$10,IF(F96&lt;$F$16/$F$10,$F$16*(1-$C$12)/$F$10,F96*(1-$C$12))))),IF(VLOOKUP(C96,$H$8:$I$35,2,FALSE)&lt;&gt;0,VLOOKUP(C96,$H$8:$I$35,2,FALSE)*(1-$C$12),IF(E96=0,0,IF(F96&gt;$F$20/$F$10,$F$20*(1-$C$12)/$F$10,IF(F96&lt;$F$16/$F$10,$F$16*(1-$C$12)/$F$10,F96*(1-$C$12)))))))</f>
        <v>0</v>
      </c>
      <c r="H96" s="52">
        <f aca="true" t="shared" si="7" ref="H96:H123">IF(AND(C96=0,G96=0),0,IF(AND(C96=$F$8,$F$42=""),G96*100+$F$32,IF(AND(C96&lt;$F$8,$F$42=""),G96*100,IF(C96=$F$42,$F$54+G96*100,G96*100))))</f>
        <v>0</v>
      </c>
      <c r="I96" s="299"/>
      <c r="J96" s="22"/>
      <c r="K96" s="91"/>
      <c r="L96" s="101">
        <f t="shared" si="5"/>
        <v>0</v>
      </c>
      <c r="M96" s="102">
        <f aca="true" t="shared" si="8" ref="M96:M123">IF(L96=0,0,IF(OR(L96=$F$42,L96=$F$8),$M$54,H96*$M$16/100-$M$41))</f>
        <v>0</v>
      </c>
      <c r="N96" s="183"/>
      <c r="O96" s="71"/>
      <c r="P96" s="22"/>
    </row>
    <row r="97" spans="2:16" ht="9.75">
      <c r="B97" s="16"/>
      <c r="C97" s="69">
        <f>IF(OR(C96=$F$8,C96=$F$42,C96=0),0,IF(C96=$F$42,0,IF(AND(COUPNCD(C96,$F$8,$F$10,1)&gt;$F$42,$F$42&lt;&gt;""),$F$42,(IF(C96=0,0,IF(C96=$F$8,0,COUPNCD(C96,$F$8,$F$10,1)))))))</f>
        <v>0</v>
      </c>
      <c r="D97" s="2"/>
      <c r="E97" s="259"/>
      <c r="F97" s="29">
        <f t="shared" si="4"/>
        <v>0</v>
      </c>
      <c r="G97" s="29">
        <f t="shared" si="6"/>
        <v>0</v>
      </c>
      <c r="H97" s="52">
        <f t="shared" si="7"/>
        <v>0</v>
      </c>
      <c r="I97" s="299"/>
      <c r="J97" s="22"/>
      <c r="K97" s="91"/>
      <c r="L97" s="101">
        <f t="shared" si="5"/>
        <v>0</v>
      </c>
      <c r="M97" s="102">
        <f t="shared" si="8"/>
        <v>0</v>
      </c>
      <c r="N97" s="183"/>
      <c r="O97" s="71"/>
      <c r="P97" s="22"/>
    </row>
    <row r="98" spans="2:16" ht="9.75">
      <c r="B98" s="16"/>
      <c r="C98" s="69">
        <f>IF(OR(C97=$F$8,C97=$F$42,C97=0),0,IF(C97=$F$42,0,IF(AND(COUPNCD(C97,$F$8,$F$10,1)&gt;$F$42,$F$42&lt;&gt;""),$F$42,(IF(C97=0,0,IF(C97=$F$8,0,COUPNCD(C97,$F$8,$F$10,1)))))))</f>
        <v>0</v>
      </c>
      <c r="D98" s="2"/>
      <c r="E98" s="259"/>
      <c r="F98" s="29">
        <f t="shared" si="4"/>
        <v>0</v>
      </c>
      <c r="G98" s="29">
        <f t="shared" si="6"/>
        <v>0</v>
      </c>
      <c r="H98" s="52">
        <f t="shared" si="7"/>
        <v>0</v>
      </c>
      <c r="I98" s="299"/>
      <c r="J98" s="22"/>
      <c r="K98" s="91"/>
      <c r="L98" s="101">
        <f t="shared" si="5"/>
        <v>0</v>
      </c>
      <c r="M98" s="102">
        <f t="shared" si="8"/>
        <v>0</v>
      </c>
      <c r="N98" s="183"/>
      <c r="O98" s="71"/>
      <c r="P98" s="22"/>
    </row>
    <row r="99" spans="2:16" ht="9.75">
      <c r="B99" s="16"/>
      <c r="C99" s="69">
        <f>IF(OR(C98=$F$8,C98=$F$42,C98=0),0,IF(C98=$F$42,0,IF(AND(COUPNCD(C98,$F$8,$F$10,1)&gt;$F$42,$F$42&lt;&gt;""),$F$42,(IF(C98=0,0,IF(C98=$F$8,0,COUPNCD(C98,$F$8,$F$10,1)))))))</f>
        <v>0</v>
      </c>
      <c r="D99" s="2"/>
      <c r="E99" s="259"/>
      <c r="F99" s="29">
        <f t="shared" si="4"/>
        <v>0</v>
      </c>
      <c r="G99" s="29">
        <f t="shared" si="6"/>
        <v>0</v>
      </c>
      <c r="H99" s="52">
        <f t="shared" si="7"/>
        <v>0</v>
      </c>
      <c r="I99" s="299"/>
      <c r="J99" s="22"/>
      <c r="K99" s="91"/>
      <c r="L99" s="101">
        <f t="shared" si="5"/>
        <v>0</v>
      </c>
      <c r="M99" s="102">
        <f t="shared" si="8"/>
        <v>0</v>
      </c>
      <c r="N99" s="183"/>
      <c r="O99" s="71"/>
      <c r="P99" s="22"/>
    </row>
    <row r="100" spans="2:16" ht="9.75">
      <c r="B100" s="16"/>
      <c r="C100" s="69">
        <f>IF(OR(C99=$F$8,C99=$F$42,C99=0),0,IF(C99=$F$42,0,IF(AND(COUPNCD(C99,$F$8,$F$10,1)&gt;$F$42,$F$42&lt;&gt;""),$F$42,(IF(C99=0,0,IF(C99=$F$8,0,COUPNCD(C99,$F$8,$F$10,1)))))))</f>
        <v>0</v>
      </c>
      <c r="D100" s="2"/>
      <c r="E100" s="259"/>
      <c r="F100" s="29">
        <f t="shared" si="4"/>
        <v>0</v>
      </c>
      <c r="G100" s="29">
        <f t="shared" si="6"/>
        <v>0</v>
      </c>
      <c r="H100" s="52">
        <f t="shared" si="7"/>
        <v>0</v>
      </c>
      <c r="I100" s="299"/>
      <c r="J100" s="22"/>
      <c r="K100" s="91"/>
      <c r="L100" s="101">
        <f t="shared" si="5"/>
        <v>0</v>
      </c>
      <c r="M100" s="102">
        <f t="shared" si="8"/>
        <v>0</v>
      </c>
      <c r="N100" s="183"/>
      <c r="O100" s="71"/>
      <c r="P100" s="22"/>
    </row>
    <row r="101" spans="2:16" ht="9.75">
      <c r="B101" s="16"/>
      <c r="C101" s="69">
        <f>IF(OR(C100=$F$8,C100=$F$42,C100=0),0,IF(C100=$F$42,0,IF(AND(COUPNCD(C100,$F$8,$F$10,1)&gt;$F$42,$F$42&lt;&gt;""),$F$42,(IF(C100=0,0,IF(C100=$F$8,0,COUPNCD(C100,$F$8,$F$10,1)))))))</f>
        <v>0</v>
      </c>
      <c r="D101" s="2"/>
      <c r="E101" s="259"/>
      <c r="F101" s="29">
        <f t="shared" si="4"/>
        <v>0</v>
      </c>
      <c r="G101" s="29">
        <f t="shared" si="6"/>
        <v>0</v>
      </c>
      <c r="H101" s="52">
        <f t="shared" si="7"/>
        <v>0</v>
      </c>
      <c r="I101" s="299"/>
      <c r="J101" s="22"/>
      <c r="K101" s="91"/>
      <c r="L101" s="101">
        <f t="shared" si="5"/>
        <v>0</v>
      </c>
      <c r="M101" s="102">
        <f t="shared" si="8"/>
        <v>0</v>
      </c>
      <c r="N101" s="183"/>
      <c r="O101" s="71"/>
      <c r="P101" s="22"/>
    </row>
    <row r="102" spans="2:16" ht="9.75">
      <c r="B102" s="16"/>
      <c r="C102" s="69">
        <f>IF(OR(C101=$F$8,C101=$F$42,C101=0),0,IF(C101=$F$42,0,IF(AND(COUPNCD(C101,$F$8,$F$10,1)&gt;$F$42,$F$42&lt;&gt;""),$F$42,(IF(C101=0,0,IF(C101=$F$8,0,COUPNCD(C101,$F$8,$F$10,1)))))))</f>
        <v>0</v>
      </c>
      <c r="D102" s="2"/>
      <c r="E102" s="259"/>
      <c r="F102" s="29">
        <f t="shared" si="4"/>
        <v>0</v>
      </c>
      <c r="G102" s="29">
        <f t="shared" si="6"/>
        <v>0</v>
      </c>
      <c r="H102" s="52">
        <f t="shared" si="7"/>
        <v>0</v>
      </c>
      <c r="I102" s="299"/>
      <c r="J102" s="22"/>
      <c r="K102" s="91"/>
      <c r="L102" s="101">
        <f t="shared" si="5"/>
        <v>0</v>
      </c>
      <c r="M102" s="102">
        <f t="shared" si="8"/>
        <v>0</v>
      </c>
      <c r="N102" s="183"/>
      <c r="O102" s="71"/>
      <c r="P102" s="22"/>
    </row>
    <row r="103" spans="2:16" ht="9.75">
      <c r="B103" s="16"/>
      <c r="C103" s="69">
        <f>IF(OR(C102=$F$8,C102=$F$42,C102=0),0,IF(C102=$F$42,0,IF(AND(COUPNCD(C102,$F$8,$F$10,1)&gt;$F$42,$F$42&lt;&gt;""),$F$42,(IF(C102=0,0,IF(C102=$F$8,0,COUPNCD(C102,$F$8,$F$10,1)))))))</f>
        <v>0</v>
      </c>
      <c r="D103" s="2"/>
      <c r="E103" s="259"/>
      <c r="F103" s="29">
        <f t="shared" si="4"/>
        <v>0</v>
      </c>
      <c r="G103" s="29">
        <f t="shared" si="6"/>
        <v>0</v>
      </c>
      <c r="H103" s="52">
        <f t="shared" si="7"/>
        <v>0</v>
      </c>
      <c r="I103" s="299"/>
      <c r="J103" s="22"/>
      <c r="K103" s="91"/>
      <c r="L103" s="101">
        <f t="shared" si="5"/>
        <v>0</v>
      </c>
      <c r="M103" s="102">
        <f t="shared" si="8"/>
        <v>0</v>
      </c>
      <c r="N103" s="183"/>
      <c r="O103" s="71"/>
      <c r="P103" s="22"/>
    </row>
    <row r="104" spans="2:16" ht="9.75">
      <c r="B104" s="16"/>
      <c r="C104" s="69">
        <f>IF(OR(C103=$F$8,C103=$F$42,C103=0),0,IF(C103=$F$42,0,IF(AND(COUPNCD(C103,$F$8,$F$10,1)&gt;$F$42,$F$42&lt;&gt;""),$F$42,(IF(C103=0,0,IF(C103=$F$8,0,COUPNCD(C103,$F$8,$F$10,1)))))))</f>
        <v>0</v>
      </c>
      <c r="D104" s="2"/>
      <c r="E104" s="259"/>
      <c r="F104" s="29">
        <f t="shared" si="4"/>
        <v>0</v>
      </c>
      <c r="G104" s="29">
        <f t="shared" si="6"/>
        <v>0</v>
      </c>
      <c r="H104" s="52">
        <f t="shared" si="7"/>
        <v>0</v>
      </c>
      <c r="I104" s="299"/>
      <c r="J104" s="22"/>
      <c r="K104" s="91"/>
      <c r="L104" s="101">
        <f t="shared" si="5"/>
        <v>0</v>
      </c>
      <c r="M104" s="102">
        <f t="shared" si="8"/>
        <v>0</v>
      </c>
      <c r="N104" s="183"/>
      <c r="O104" s="71"/>
      <c r="P104" s="22"/>
    </row>
    <row r="105" spans="2:16" ht="9.75">
      <c r="B105" s="16"/>
      <c r="C105" s="69">
        <f>IF(OR(C104=$F$8,C104=$F$42,C104=0),0,IF(C104=$F$42,0,IF(AND(COUPNCD(C104,$F$8,$F$10,1)&gt;$F$42,$F$42&lt;&gt;""),$F$42,(IF(C104=0,0,IF(C104=$F$8,0,COUPNCD(C104,$F$8,$F$10,1)))))))</f>
        <v>0</v>
      </c>
      <c r="D105" s="2"/>
      <c r="E105" s="259"/>
      <c r="F105" s="29">
        <f t="shared" si="4"/>
        <v>0</v>
      </c>
      <c r="G105" s="29">
        <f t="shared" si="6"/>
        <v>0</v>
      </c>
      <c r="H105" s="52">
        <f t="shared" si="7"/>
        <v>0</v>
      </c>
      <c r="I105" s="299"/>
      <c r="J105" s="22"/>
      <c r="K105" s="91"/>
      <c r="L105" s="101">
        <f t="shared" si="5"/>
        <v>0</v>
      </c>
      <c r="M105" s="102">
        <f t="shared" si="8"/>
        <v>0</v>
      </c>
      <c r="N105" s="183"/>
      <c r="O105" s="71"/>
      <c r="P105" s="22"/>
    </row>
    <row r="106" spans="2:16" ht="9.75">
      <c r="B106" s="16"/>
      <c r="C106" s="69">
        <f>IF(OR(C105=$F$8,C105=$F$42,C105=0),0,IF(C105=$F$42,0,IF(AND(COUPNCD(C105,$F$8,$F$10,1)&gt;$F$42,$F$42&lt;&gt;""),$F$42,(IF(C105=0,0,IF(C105=$F$8,0,COUPNCD(C105,$F$8,$F$10,1)))))))</f>
        <v>0</v>
      </c>
      <c r="D106" s="2"/>
      <c r="E106" s="259"/>
      <c r="F106" s="29">
        <f t="shared" si="4"/>
        <v>0</v>
      </c>
      <c r="G106" s="29">
        <f t="shared" si="6"/>
        <v>0</v>
      </c>
      <c r="H106" s="52">
        <f t="shared" si="7"/>
        <v>0</v>
      </c>
      <c r="I106" s="299"/>
      <c r="J106" s="22"/>
      <c r="K106" s="91"/>
      <c r="L106" s="101">
        <f t="shared" si="5"/>
        <v>0</v>
      </c>
      <c r="M106" s="102">
        <f t="shared" si="8"/>
        <v>0</v>
      </c>
      <c r="N106" s="183"/>
      <c r="O106" s="71"/>
      <c r="P106" s="22"/>
    </row>
    <row r="107" spans="2:16" ht="9.75">
      <c r="B107" s="16"/>
      <c r="C107" s="69">
        <f>IF(OR(C106=$F$8,C106=$F$42,C106=0),0,IF(C106=$F$42,0,IF(AND(COUPNCD(C106,$F$8,$F$10,1)&gt;$F$42,$F$42&lt;&gt;""),$F$42,(IF(C106=0,0,IF(C106=$F$8,0,COUPNCD(C106,$F$8,$F$10,1)))))))</f>
        <v>0</v>
      </c>
      <c r="D107" s="2"/>
      <c r="E107" s="259"/>
      <c r="F107" s="29">
        <f t="shared" si="4"/>
        <v>0</v>
      </c>
      <c r="G107" s="29">
        <f t="shared" si="6"/>
        <v>0</v>
      </c>
      <c r="H107" s="52">
        <f t="shared" si="7"/>
        <v>0</v>
      </c>
      <c r="I107" s="299"/>
      <c r="J107" s="22"/>
      <c r="K107" s="91"/>
      <c r="L107" s="101">
        <f t="shared" si="5"/>
        <v>0</v>
      </c>
      <c r="M107" s="102">
        <f t="shared" si="8"/>
        <v>0</v>
      </c>
      <c r="N107" s="183"/>
      <c r="O107" s="71"/>
      <c r="P107" s="22"/>
    </row>
    <row r="108" spans="2:16" ht="9.75">
      <c r="B108" s="16"/>
      <c r="C108" s="69">
        <f>IF(OR(C107=$F$8,C107=$F$42,C107=0),0,IF(C107=$F$42,0,IF(AND(COUPNCD(C107,$F$8,$F$10,1)&gt;$F$42,$F$42&lt;&gt;""),$F$42,(IF(C107=0,0,IF(C107=$F$8,0,COUPNCD(C107,$F$8,$F$10,1)))))))</f>
        <v>0</v>
      </c>
      <c r="D108" s="2"/>
      <c r="E108" s="259"/>
      <c r="F108" s="29">
        <f t="shared" si="4"/>
        <v>0</v>
      </c>
      <c r="G108" s="29">
        <f t="shared" si="6"/>
        <v>0</v>
      </c>
      <c r="H108" s="52">
        <f t="shared" si="7"/>
        <v>0</v>
      </c>
      <c r="I108" s="299"/>
      <c r="J108" s="22"/>
      <c r="K108" s="91"/>
      <c r="L108" s="101">
        <f t="shared" si="5"/>
        <v>0</v>
      </c>
      <c r="M108" s="102">
        <f t="shared" si="8"/>
        <v>0</v>
      </c>
      <c r="N108" s="183"/>
      <c r="O108" s="71"/>
      <c r="P108" s="22"/>
    </row>
    <row r="109" spans="2:16" ht="9.75">
      <c r="B109" s="16"/>
      <c r="C109" s="69">
        <f>IF(OR(C108=$F$8,C108=$F$42,C108=0),0,IF(C108=$F$42,0,IF(AND(COUPNCD(C108,$F$8,$F$10,1)&gt;$F$42,$F$42&lt;&gt;""),$F$42,(IF(C108=0,0,IF(C108=$F$8,0,COUPNCD(C108,$F$8,$F$10,1)))))))</f>
        <v>0</v>
      </c>
      <c r="D109" s="2"/>
      <c r="E109" s="259"/>
      <c r="F109" s="29">
        <f t="shared" si="4"/>
        <v>0</v>
      </c>
      <c r="G109" s="29">
        <f t="shared" si="6"/>
        <v>0</v>
      </c>
      <c r="H109" s="52">
        <f t="shared" si="7"/>
        <v>0</v>
      </c>
      <c r="I109" s="299"/>
      <c r="J109" s="22"/>
      <c r="K109" s="91"/>
      <c r="L109" s="101">
        <f t="shared" si="5"/>
        <v>0</v>
      </c>
      <c r="M109" s="102">
        <f t="shared" si="8"/>
        <v>0</v>
      </c>
      <c r="N109" s="183"/>
      <c r="O109" s="71"/>
      <c r="P109" s="22"/>
    </row>
    <row r="110" spans="2:16" ht="9.75">
      <c r="B110" s="16"/>
      <c r="C110" s="69">
        <f>IF(OR(C109=$F$8,C109=$F$42,C109=0),0,IF(C109=$F$42,0,IF(AND(COUPNCD(C109,$F$8,$F$10,1)&gt;$F$42,$F$42&lt;&gt;""),$F$42,(IF(C109=0,0,IF(C109=$F$8,0,COUPNCD(C109,$F$8,$F$10,1)))))))</f>
        <v>0</v>
      </c>
      <c r="D110" s="2"/>
      <c r="E110" s="259"/>
      <c r="F110" s="29">
        <f t="shared" si="4"/>
        <v>0</v>
      </c>
      <c r="G110" s="29">
        <f t="shared" si="6"/>
        <v>0</v>
      </c>
      <c r="H110" s="52">
        <f t="shared" si="7"/>
        <v>0</v>
      </c>
      <c r="I110" s="299"/>
      <c r="J110" s="22"/>
      <c r="K110" s="91"/>
      <c r="L110" s="101">
        <f t="shared" si="5"/>
        <v>0</v>
      </c>
      <c r="M110" s="102">
        <f t="shared" si="8"/>
        <v>0</v>
      </c>
      <c r="N110" s="183"/>
      <c r="O110" s="71"/>
      <c r="P110" s="22"/>
    </row>
    <row r="111" spans="2:16" ht="9.75">
      <c r="B111" s="16"/>
      <c r="C111" s="69">
        <f>IF(OR(C110=$F$8,C110=$F$42,C110=0),0,IF(C110=$F$42,0,IF(AND(COUPNCD(C110,$F$8,$F$10,1)&gt;$F$42,$F$42&lt;&gt;""),$F$42,(IF(C110=0,0,IF(C110=$F$8,0,COUPNCD(C110,$F$8,$F$10,1)))))))</f>
        <v>0</v>
      </c>
      <c r="D111" s="2"/>
      <c r="E111" s="259"/>
      <c r="F111" s="29">
        <f t="shared" si="4"/>
        <v>0</v>
      </c>
      <c r="G111" s="29">
        <f t="shared" si="6"/>
        <v>0</v>
      </c>
      <c r="H111" s="52">
        <f t="shared" si="7"/>
        <v>0</v>
      </c>
      <c r="I111" s="299"/>
      <c r="J111" s="22"/>
      <c r="K111" s="91"/>
      <c r="L111" s="101">
        <f t="shared" si="5"/>
        <v>0</v>
      </c>
      <c r="M111" s="102">
        <f t="shared" si="8"/>
        <v>0</v>
      </c>
      <c r="N111" s="183"/>
      <c r="O111" s="71"/>
      <c r="P111" s="22"/>
    </row>
    <row r="112" spans="2:16" ht="9.75">
      <c r="B112" s="16"/>
      <c r="C112" s="69">
        <f>IF(OR(C111=$F$8,C111=$F$42,C111=0),0,IF(C111=$F$42,0,IF(AND(COUPNCD(C111,$F$8,$F$10,1)&gt;$F$42,$F$42&lt;&gt;""),$F$42,(IF(C111=0,0,IF(C111=$F$8,0,COUPNCD(C111,$F$8,$F$10,1)))))))</f>
        <v>0</v>
      </c>
      <c r="D112" s="2"/>
      <c r="E112" s="259"/>
      <c r="F112" s="29">
        <f t="shared" si="4"/>
        <v>0</v>
      </c>
      <c r="G112" s="29">
        <f t="shared" si="6"/>
        <v>0</v>
      </c>
      <c r="H112" s="52">
        <f t="shared" si="7"/>
        <v>0</v>
      </c>
      <c r="I112" s="299"/>
      <c r="J112" s="22"/>
      <c r="K112" s="91"/>
      <c r="L112" s="101">
        <f t="shared" si="5"/>
        <v>0</v>
      </c>
      <c r="M112" s="102">
        <f t="shared" si="8"/>
        <v>0</v>
      </c>
      <c r="N112" s="183"/>
      <c r="O112" s="71"/>
      <c r="P112" s="22"/>
    </row>
    <row r="113" spans="2:16" ht="9.75">
      <c r="B113" s="16"/>
      <c r="C113" s="69">
        <f>IF(OR(C112=$F$8,C112=$F$42,C112=0),0,IF(C112=$F$42,0,IF(AND(COUPNCD(C112,$F$8,$F$10,1)&gt;$F$42,$F$42&lt;&gt;""),$F$42,(IF(C112=0,0,IF(C112=$F$8,0,COUPNCD(C112,$F$8,$F$10,1)))))))</f>
        <v>0</v>
      </c>
      <c r="D113" s="2"/>
      <c r="E113" s="259"/>
      <c r="F113" s="29">
        <f t="shared" si="4"/>
        <v>0</v>
      </c>
      <c r="G113" s="29">
        <f t="shared" si="6"/>
        <v>0</v>
      </c>
      <c r="H113" s="52">
        <f t="shared" si="7"/>
        <v>0</v>
      </c>
      <c r="I113" s="299"/>
      <c r="J113" s="22"/>
      <c r="K113" s="91"/>
      <c r="L113" s="101">
        <f t="shared" si="5"/>
        <v>0</v>
      </c>
      <c r="M113" s="102">
        <f t="shared" si="8"/>
        <v>0</v>
      </c>
      <c r="N113" s="183"/>
      <c r="O113" s="71"/>
      <c r="P113" s="22"/>
    </row>
    <row r="114" spans="2:16" ht="9.75">
      <c r="B114" s="16"/>
      <c r="C114" s="69">
        <f>IF(OR(C113=$F$8,C113=$F$42,C113=0),0,IF(C113=$F$42,0,IF(AND(COUPNCD(C113,$F$8,$F$10,1)&gt;$F$42,$F$42&lt;&gt;""),$F$42,(IF(C113=0,0,IF(C113=$F$8,0,COUPNCD(C113,$F$8,$F$10,1)))))))</f>
        <v>0</v>
      </c>
      <c r="D114" s="2"/>
      <c r="E114" s="259"/>
      <c r="F114" s="29">
        <f t="shared" si="4"/>
        <v>0</v>
      </c>
      <c r="G114" s="29">
        <f t="shared" si="6"/>
        <v>0</v>
      </c>
      <c r="H114" s="52">
        <f t="shared" si="7"/>
        <v>0</v>
      </c>
      <c r="I114" s="299"/>
      <c r="J114" s="22"/>
      <c r="K114" s="91"/>
      <c r="L114" s="101">
        <f t="shared" si="5"/>
        <v>0</v>
      </c>
      <c r="M114" s="102">
        <f t="shared" si="8"/>
        <v>0</v>
      </c>
      <c r="N114" s="183"/>
      <c r="O114" s="71"/>
      <c r="P114" s="22"/>
    </row>
    <row r="115" spans="2:16" ht="9.75">
      <c r="B115" s="16"/>
      <c r="C115" s="69">
        <f>IF(OR(C114=$F$8,C114=$F$42,C114=0),0,IF(C114=$F$42,0,IF(AND(COUPNCD(C114,$F$8,$F$10,1)&gt;$F$42,$F$42&lt;&gt;""),$F$42,(IF(C114=0,0,IF(C114=$F$8,0,COUPNCD(C114,$F$8,$F$10,1)))))))</f>
        <v>0</v>
      </c>
      <c r="D115" s="2"/>
      <c r="E115" s="259"/>
      <c r="F115" s="29">
        <f t="shared" si="4"/>
        <v>0</v>
      </c>
      <c r="G115" s="29">
        <f t="shared" si="6"/>
        <v>0</v>
      </c>
      <c r="H115" s="52">
        <f t="shared" si="7"/>
        <v>0</v>
      </c>
      <c r="I115" s="299"/>
      <c r="J115" s="22"/>
      <c r="K115" s="91"/>
      <c r="L115" s="101">
        <f t="shared" si="5"/>
        <v>0</v>
      </c>
      <c r="M115" s="102">
        <f t="shared" si="8"/>
        <v>0</v>
      </c>
      <c r="N115" s="183"/>
      <c r="O115" s="71"/>
      <c r="P115" s="22"/>
    </row>
    <row r="116" spans="2:16" ht="9.75">
      <c r="B116" s="16"/>
      <c r="C116" s="69">
        <f>IF(OR(C115=$F$8,C115=$F$42,C115=0),0,IF(C115=$F$42,0,IF(AND(COUPNCD(C115,$F$8,$F$10,1)&gt;$F$42,$F$42&lt;&gt;""),$F$42,(IF(C115=0,0,IF(C115=$F$8,0,COUPNCD(C115,$F$8,$F$10,1)))))))</f>
        <v>0</v>
      </c>
      <c r="D116" s="2"/>
      <c r="E116" s="259"/>
      <c r="F116" s="29">
        <f t="shared" si="4"/>
        <v>0</v>
      </c>
      <c r="G116" s="29">
        <f t="shared" si="6"/>
        <v>0</v>
      </c>
      <c r="H116" s="52">
        <f t="shared" si="7"/>
        <v>0</v>
      </c>
      <c r="I116" s="299"/>
      <c r="J116" s="22"/>
      <c r="K116" s="91"/>
      <c r="L116" s="101">
        <f t="shared" si="5"/>
        <v>0</v>
      </c>
      <c r="M116" s="102">
        <f t="shared" si="8"/>
        <v>0</v>
      </c>
      <c r="N116" s="183"/>
      <c r="O116" s="71"/>
      <c r="P116" s="22"/>
    </row>
    <row r="117" spans="2:16" ht="9.75">
      <c r="B117" s="16"/>
      <c r="C117" s="69">
        <f>IF(OR(C116=$F$8,C116=$F$42,C116=0),0,IF(C116=$F$42,0,IF(AND(COUPNCD(C116,$F$8,$F$10,1)&gt;$F$42,$F$42&lt;&gt;""),$F$42,(IF(C116=0,0,IF(C116=$F$8,0,COUPNCD(C116,$F$8,$F$10,1)))))))</f>
        <v>0</v>
      </c>
      <c r="D117" s="2"/>
      <c r="E117" s="259"/>
      <c r="F117" s="29">
        <f t="shared" si="4"/>
        <v>0</v>
      </c>
      <c r="G117" s="29">
        <f t="shared" si="6"/>
        <v>0</v>
      </c>
      <c r="H117" s="52">
        <f t="shared" si="7"/>
        <v>0</v>
      </c>
      <c r="I117" s="299"/>
      <c r="J117" s="22"/>
      <c r="K117" s="91"/>
      <c r="L117" s="101">
        <f t="shared" si="5"/>
        <v>0</v>
      </c>
      <c r="M117" s="102">
        <f t="shared" si="8"/>
        <v>0</v>
      </c>
      <c r="N117" s="183"/>
      <c r="O117" s="71"/>
      <c r="P117" s="22"/>
    </row>
    <row r="118" spans="2:16" ht="9.75">
      <c r="B118" s="16"/>
      <c r="C118" s="69">
        <f>IF(OR(C117=$F$8,C117=$F$42,C117=0),0,IF(C117=$F$42,0,IF(AND(COUPNCD(C117,$F$8,$F$10,1)&gt;$F$42,$F$42&lt;&gt;""),$F$42,(IF(C117=0,0,IF(C117=$F$8,0,COUPNCD(C117,$F$8,$F$10,1)))))))</f>
        <v>0</v>
      </c>
      <c r="D118" s="2"/>
      <c r="E118" s="259"/>
      <c r="F118" s="29">
        <f t="shared" si="4"/>
        <v>0</v>
      </c>
      <c r="G118" s="29">
        <f t="shared" si="6"/>
        <v>0</v>
      </c>
      <c r="H118" s="52">
        <f t="shared" si="7"/>
        <v>0</v>
      </c>
      <c r="I118" s="299"/>
      <c r="J118" s="22"/>
      <c r="K118" s="91"/>
      <c r="L118" s="101">
        <f t="shared" si="5"/>
        <v>0</v>
      </c>
      <c r="M118" s="102">
        <f t="shared" si="8"/>
        <v>0</v>
      </c>
      <c r="N118" s="183"/>
      <c r="O118" s="71"/>
      <c r="P118" s="22"/>
    </row>
    <row r="119" spans="2:16" ht="9.75">
      <c r="B119" s="16"/>
      <c r="C119" s="69">
        <f>IF(OR(C118=$F$8,C118=$F$42,C118=0),0,IF(C118=$F$42,0,IF(AND(COUPNCD(C118,$F$8,$F$10,1)&gt;$F$42,$F$42&lt;&gt;""),$F$42,(IF(C118=0,0,IF(C118=$F$8,0,COUPNCD(C118,$F$8,$F$10,1)))))))</f>
        <v>0</v>
      </c>
      <c r="D119" s="2"/>
      <c r="E119" s="259"/>
      <c r="F119" s="29">
        <f t="shared" si="4"/>
        <v>0</v>
      </c>
      <c r="G119" s="29">
        <f t="shared" si="6"/>
        <v>0</v>
      </c>
      <c r="H119" s="52">
        <f t="shared" si="7"/>
        <v>0</v>
      </c>
      <c r="I119" s="299"/>
      <c r="J119" s="22"/>
      <c r="K119" s="91"/>
      <c r="L119" s="101">
        <f t="shared" si="5"/>
        <v>0</v>
      </c>
      <c r="M119" s="102">
        <f t="shared" si="8"/>
        <v>0</v>
      </c>
      <c r="N119" s="183"/>
      <c r="O119" s="71"/>
      <c r="P119" s="22"/>
    </row>
    <row r="120" spans="2:16" ht="9.75">
      <c r="B120" s="16"/>
      <c r="C120" s="69">
        <f>IF(OR(C119=$F$8,C119=$F$42,C119=0),0,IF(C119=$F$42,0,IF(AND(COUPNCD(C119,$F$8,$F$10,1)&gt;$F$42,$F$42&lt;&gt;""),$F$42,(IF(C119=0,0,IF(C119=$F$8,0,COUPNCD(C119,$F$8,$F$10,1)))))))</f>
        <v>0</v>
      </c>
      <c r="D120" s="2"/>
      <c r="E120" s="259"/>
      <c r="F120" s="29">
        <f t="shared" si="4"/>
        <v>0</v>
      </c>
      <c r="G120" s="29">
        <f t="shared" si="6"/>
        <v>0</v>
      </c>
      <c r="H120" s="52">
        <f t="shared" si="7"/>
        <v>0</v>
      </c>
      <c r="I120" s="299"/>
      <c r="J120" s="22"/>
      <c r="K120" s="91"/>
      <c r="L120" s="101">
        <f t="shared" si="5"/>
        <v>0</v>
      </c>
      <c r="M120" s="102">
        <f t="shared" si="8"/>
        <v>0</v>
      </c>
      <c r="N120" s="183"/>
      <c r="O120" s="71"/>
      <c r="P120" s="22"/>
    </row>
    <row r="121" spans="2:16" ht="9.75">
      <c r="B121" s="16"/>
      <c r="C121" s="69">
        <f>IF(OR(C120=$F$8,C120=$F$42,C120=0),0,IF(C120=$F$42,0,IF(AND(COUPNCD(C120,$F$8,$F$10,1)&gt;$F$42,$F$42&lt;&gt;""),$F$42,(IF(C120=0,0,IF(C120=$F$8,0,COUPNCD(C120,$F$8,$F$10,1)))))))</f>
        <v>0</v>
      </c>
      <c r="D121" s="2"/>
      <c r="E121" s="259"/>
      <c r="F121" s="29">
        <f t="shared" si="4"/>
        <v>0</v>
      </c>
      <c r="G121" s="29">
        <f t="shared" si="6"/>
        <v>0</v>
      </c>
      <c r="H121" s="52">
        <f t="shared" si="7"/>
        <v>0</v>
      </c>
      <c r="I121" s="299"/>
      <c r="J121" s="22"/>
      <c r="K121" s="91"/>
      <c r="L121" s="101">
        <f t="shared" si="5"/>
        <v>0</v>
      </c>
      <c r="M121" s="102">
        <f t="shared" si="8"/>
        <v>0</v>
      </c>
      <c r="N121" s="183"/>
      <c r="O121" s="71"/>
      <c r="P121" s="22"/>
    </row>
    <row r="122" spans="2:16" ht="9.75">
      <c r="B122" s="16"/>
      <c r="C122" s="69">
        <f>IF(OR(C121=$F$8,C121=$F$42,C121=0),0,IF(C121=$F$42,0,IF(AND(COUPNCD(C121,$F$8,$F$10,1)&gt;$F$42,$F$42&lt;&gt;""),$F$42,(IF(C121=0,0,IF(C121=$F$8,0,COUPNCD(C121,$F$8,$F$10,1)))))))</f>
        <v>0</v>
      </c>
      <c r="D122" s="2"/>
      <c r="E122" s="259"/>
      <c r="F122" s="29">
        <f t="shared" si="4"/>
        <v>0</v>
      </c>
      <c r="G122" s="29">
        <f t="shared" si="6"/>
        <v>0</v>
      </c>
      <c r="H122" s="52">
        <f t="shared" si="7"/>
        <v>0</v>
      </c>
      <c r="I122" s="299"/>
      <c r="J122" s="22"/>
      <c r="K122" s="91"/>
      <c r="L122" s="101">
        <f t="shared" si="5"/>
        <v>0</v>
      </c>
      <c r="M122" s="102">
        <f t="shared" si="8"/>
        <v>0</v>
      </c>
      <c r="N122" s="183"/>
      <c r="O122" s="71"/>
      <c r="P122" s="22"/>
    </row>
    <row r="123" spans="2:16" ht="9.75">
      <c r="B123" s="16"/>
      <c r="C123" s="69">
        <f>IF(OR(C122=$F$8,C122=$F$42,C122=0),0,IF(C122=$F$42,0,IF(AND(COUPNCD(C122,$F$8,$F$10,1)&gt;$F$42,$F$42&lt;&gt;""),$F$42,(IF(C122=0,0,IF(C122=$F$8,0,COUPNCD(C122,$F$8,$F$10,1)))))))</f>
        <v>0</v>
      </c>
      <c r="D123" s="2"/>
      <c r="E123" s="259"/>
      <c r="F123" s="29">
        <f t="shared" si="4"/>
        <v>0</v>
      </c>
      <c r="G123" s="29">
        <f t="shared" si="6"/>
        <v>0</v>
      </c>
      <c r="H123" s="52">
        <f t="shared" si="7"/>
        <v>0</v>
      </c>
      <c r="I123" s="299"/>
      <c r="J123" s="22"/>
      <c r="K123" s="91"/>
      <c r="L123" s="101">
        <f t="shared" si="5"/>
        <v>0</v>
      </c>
      <c r="M123" s="102">
        <f t="shared" si="8"/>
        <v>0</v>
      </c>
      <c r="N123" s="183"/>
      <c r="O123" s="71"/>
      <c r="P123" s="22"/>
    </row>
    <row r="124" spans="2:15" ht="10.5" thickBot="1">
      <c r="B124" s="72"/>
      <c r="C124" s="73"/>
      <c r="D124" s="73"/>
      <c r="E124" s="73"/>
      <c r="F124" s="73"/>
      <c r="G124" s="73"/>
      <c r="H124" s="73"/>
      <c r="I124" s="73"/>
      <c r="J124" s="73"/>
      <c r="K124" s="105"/>
      <c r="L124" s="73"/>
      <c r="M124" s="73"/>
      <c r="N124" s="73"/>
      <c r="O124" s="74"/>
    </row>
    <row r="125" ht="10.5" thickTop="1"/>
  </sheetData>
  <sheetProtection password="CAD7" sheet="1" objects="1" scenarios="1" formatCells="0" formatColumns="0" formatRows="0"/>
  <mergeCells count="15">
    <mergeCell ref="B2:O2"/>
    <mergeCell ref="L7:N8"/>
    <mergeCell ref="L10:N11"/>
    <mergeCell ref="L5:N5"/>
    <mergeCell ref="L6:N6"/>
    <mergeCell ref="D4:D16"/>
    <mergeCell ref="H4:I4"/>
    <mergeCell ref="H5:I5"/>
    <mergeCell ref="H6:I6"/>
    <mergeCell ref="F4:G4"/>
    <mergeCell ref="C56:C59"/>
    <mergeCell ref="D59:E59"/>
    <mergeCell ref="D58:E58"/>
    <mergeCell ref="D57:E57"/>
    <mergeCell ref="D56:E56"/>
  </mergeCells>
  <conditionalFormatting sqref="I8:I35">
    <cfRule type="expression" priority="1" dxfId="0" stopIfTrue="1">
      <formula>IF(H8&lt;&gt;0,TRUE,FALSE)</formula>
    </cfRule>
  </conditionalFormatting>
  <conditionalFormatting sqref="E64:E123">
    <cfRule type="expression" priority="2" dxfId="0" stopIfTrue="1">
      <formula>IF(AND(C64&lt;&gt;0,G64=0),TRUE,FALSE)</formula>
    </cfRule>
  </conditionalFormatting>
  <conditionalFormatting sqref="L63:M123 C63:C123 F56:F59 M57:M59 M36:M39 N36:N37 F14:F15 F12 G34:G36 F28:F37 G51:G53 F44:F54 M42 N31:N32 N39 M23:M25 M34:N34 M17:M19 M21 M29:M32 F64:F123 G63:H123">
    <cfRule type="cellIs" priority="3" dxfId="1" operator="equal" stopIfTrue="1">
      <formula>0</formula>
    </cfRule>
  </conditionalFormatting>
  <conditionalFormatting sqref="I63:I123 G54 N57:N59 G56:G59 N23:N25 G37 G26:G27 F41 G47:G50 G43:G45 N29:N30 U28 N16:N19 N38 N21 N63:N123 N54">
    <cfRule type="cellIs" priority="4" dxfId="5" operator="equal" stopIfTrue="1">
      <formula>0</formula>
    </cfRule>
  </conditionalFormatting>
  <conditionalFormatting sqref="F13">
    <cfRule type="expression" priority="5" dxfId="1" stopIfTrue="1">
      <formula>$F$9=0</formula>
    </cfRule>
  </conditionalFormatting>
  <conditionalFormatting sqref="M35 M22:N22">
    <cfRule type="cellIs" priority="6" dxfId="3" operator="equal" stopIfTrue="1">
      <formula>0</formula>
    </cfRule>
  </conditionalFormatting>
  <conditionalFormatting sqref="H7:H35">
    <cfRule type="cellIs" priority="7" dxfId="2" operator="equal" stopIfTrue="1">
      <formula>0</formula>
    </cfRule>
  </conditionalFormatting>
  <printOptions horizontalCentered="1" verticalCentered="1"/>
  <pageMargins left="0.393700787401575" right="0.393700787401575" top="0.984251968503937" bottom="0.984251968503937" header="0.511811023622047" footer="0.511811023622047"/>
  <pageSetup fitToHeight="1" fitToWidth="1" horizontalDpi="360" verticalDpi="360" orientation="portrait" paperSize="9" scale="66"/>
  <legacyDrawing r:id="rId3"/>
  <oleObjects>
    <oleObject progId="Equation.3" shapeId="25452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2:W124"/>
  <sheetViews>
    <sheetView showGridLines="0" zoomScale="85" zoomScaleNormal="85" zoomScalePageLayoutView="0" workbookViewId="0" topLeftCell="A20">
      <selection activeCell="F4" sqref="F4:G4"/>
    </sheetView>
  </sheetViews>
  <sheetFormatPr defaultColWidth="9.140625" defaultRowHeight="12.75"/>
  <cols>
    <col min="1" max="1" width="2.421875" style="15" customWidth="1"/>
    <col min="2" max="2" width="2.7109375" style="15" bestFit="1" customWidth="1"/>
    <col min="3" max="3" width="12.140625" style="15" customWidth="1"/>
    <col min="4" max="4" width="11.00390625" style="15" customWidth="1"/>
    <col min="5" max="5" width="22.7109375" style="15" bestFit="1" customWidth="1"/>
    <col min="6" max="6" width="13.8515625" style="15" bestFit="1" customWidth="1"/>
    <col min="7" max="7" width="9.7109375" style="15" customWidth="1"/>
    <col min="8" max="8" width="8.421875" style="15" customWidth="1"/>
    <col min="9" max="9" width="8.8515625" style="15" customWidth="1"/>
    <col min="10" max="11" width="1.7109375" style="15" customWidth="1"/>
    <col min="12" max="12" width="29.28125" style="15" bestFit="1" customWidth="1"/>
    <col min="13" max="13" width="11.28125" style="15" customWidth="1"/>
    <col min="14" max="14" width="9.7109375" style="15" customWidth="1"/>
    <col min="15" max="16" width="1.7109375" style="15" customWidth="1"/>
    <col min="17" max="17" width="9.421875" style="15" bestFit="1" customWidth="1"/>
    <col min="18" max="18" width="11.421875" style="15" bestFit="1" customWidth="1"/>
    <col min="19" max="19" width="22.140625" style="15" bestFit="1" customWidth="1"/>
    <col min="20" max="16384" width="9.140625" style="15" customWidth="1"/>
  </cols>
  <sheetData>
    <row r="1" ht="12" thickBot="1"/>
    <row r="2" spans="2:17" ht="14.25" thickBot="1" thickTop="1">
      <c r="B2" s="450" t="s">
        <v>100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2"/>
      <c r="Q2" s="147" t="s">
        <v>103</v>
      </c>
    </row>
    <row r="3" spans="2:17" ht="8.25" customHeight="1" thickTop="1">
      <c r="B3" s="12"/>
      <c r="C3" s="13"/>
      <c r="D3" s="13"/>
      <c r="E3" s="13"/>
      <c r="F3" s="13"/>
      <c r="G3" s="13"/>
      <c r="H3" s="13"/>
      <c r="I3" s="13"/>
      <c r="J3" s="13"/>
      <c r="K3" s="75"/>
      <c r="L3" s="13"/>
      <c r="M3" s="13"/>
      <c r="N3" s="13"/>
      <c r="O3" s="14"/>
      <c r="P3" s="20"/>
      <c r="Q3" s="147" t="s">
        <v>104</v>
      </c>
    </row>
    <row r="4" spans="2:16" ht="12" customHeight="1" thickBot="1">
      <c r="B4" s="16"/>
      <c r="C4" s="17"/>
      <c r="D4" s="447" t="s">
        <v>26</v>
      </c>
      <c r="E4" s="110" t="s">
        <v>139</v>
      </c>
      <c r="F4" s="465"/>
      <c r="G4" s="466"/>
      <c r="H4" s="493" t="s">
        <v>127</v>
      </c>
      <c r="I4" s="494"/>
      <c r="J4" s="20"/>
      <c r="K4" s="39"/>
      <c r="L4" s="328"/>
      <c r="O4" s="21"/>
      <c r="P4" s="20"/>
    </row>
    <row r="5" spans="2:17" ht="12" customHeight="1" thickTop="1">
      <c r="B5" s="16"/>
      <c r="C5" s="17"/>
      <c r="D5" s="445"/>
      <c r="E5" s="110" t="s">
        <v>36</v>
      </c>
      <c r="F5" s="5"/>
      <c r="G5" s="20"/>
      <c r="H5" s="495" t="s">
        <v>128</v>
      </c>
      <c r="I5" s="496"/>
      <c r="J5" s="20"/>
      <c r="K5" s="39"/>
      <c r="L5" s="459" t="s">
        <v>19</v>
      </c>
      <c r="M5" s="460"/>
      <c r="N5" s="461"/>
      <c r="O5" s="21"/>
      <c r="P5" s="20"/>
      <c r="Q5" s="147" t="s">
        <v>95</v>
      </c>
    </row>
    <row r="6" spans="2:17" ht="12.75">
      <c r="B6" s="16"/>
      <c r="C6" s="17"/>
      <c r="D6" s="445"/>
      <c r="E6" s="110" t="s">
        <v>67</v>
      </c>
      <c r="F6" s="4"/>
      <c r="G6" s="20"/>
      <c r="H6" s="497" t="s">
        <v>129</v>
      </c>
      <c r="I6" s="498"/>
      <c r="J6" s="20"/>
      <c r="K6" s="39"/>
      <c r="L6" s="462" t="s">
        <v>20</v>
      </c>
      <c r="M6" s="463"/>
      <c r="N6" s="464"/>
      <c r="O6" s="21"/>
      <c r="P6" s="20"/>
      <c r="Q6" s="147" t="s">
        <v>96</v>
      </c>
    </row>
    <row r="7" spans="2:17" ht="12" customHeight="1">
      <c r="B7" s="16"/>
      <c r="C7" s="17"/>
      <c r="D7" s="445"/>
      <c r="E7" s="110" t="s">
        <v>68</v>
      </c>
      <c r="F7" s="116"/>
      <c r="G7" s="20"/>
      <c r="H7" s="260">
        <f>F6</f>
        <v>0</v>
      </c>
      <c r="I7" s="18"/>
      <c r="J7" s="20"/>
      <c r="K7" s="39"/>
      <c r="L7" s="453" t="str">
        <f>IF(F5="","Scrivere il codice Isin nella cella F5",HYPERLINK(Q8,"Vai al Regolamento del Titolo"))</f>
        <v>Scrivere il codice Isin nella cella F5</v>
      </c>
      <c r="M7" s="454"/>
      <c r="N7" s="455"/>
      <c r="O7" s="21"/>
      <c r="P7" s="20"/>
      <c r="Q7" s="147" t="s">
        <v>116</v>
      </c>
    </row>
    <row r="8" spans="2:17" ht="12" customHeight="1" thickBot="1">
      <c r="B8" s="16"/>
      <c r="C8" s="20"/>
      <c r="D8" s="445"/>
      <c r="E8" s="110" t="s">
        <v>46</v>
      </c>
      <c r="F8" s="4"/>
      <c r="G8" s="20"/>
      <c r="H8" s="260">
        <f>IF($F$8=0,0,IF(H7=0,0,IF(EDATE(H7,12/$F$10)&lt;=$F$8,EDATE(DATE(YEAR(H7),MONTH(F8),DAY(F8)),12/$F$10),0)))</f>
        <v>0</v>
      </c>
      <c r="I8" s="265"/>
      <c r="J8" s="20"/>
      <c r="K8" s="39"/>
      <c r="L8" s="456"/>
      <c r="M8" s="457"/>
      <c r="N8" s="458"/>
      <c r="O8" s="21"/>
      <c r="P8" s="20"/>
      <c r="Q8" s="147" t="str">
        <f>CONCATENATE(Q7,F5,"&amp;market=MOT&amp;lang=it")</f>
        <v>http://www.borsaitaliana.it/bitApp/caratteristiche.bit?target=Download&amp;isin=&amp;market=MOT&amp;lang=it</v>
      </c>
    </row>
    <row r="9" spans="2:23" ht="12" customHeight="1" thickTop="1">
      <c r="B9" s="16"/>
      <c r="C9" s="23"/>
      <c r="D9" s="445"/>
      <c r="E9" s="187" t="s">
        <v>12</v>
      </c>
      <c r="F9" s="116"/>
      <c r="G9" s="23"/>
      <c r="H9" s="260">
        <f>IF($F$8=0,0,IF(H8=0,0,IF(EDATE(H8,12/$F$10)&lt;=$F$8,EDATE(H8,12/$F$10),0)))</f>
        <v>0</v>
      </c>
      <c r="I9" s="265"/>
      <c r="J9" s="20"/>
      <c r="K9" s="39"/>
      <c r="L9" s="16"/>
      <c r="M9" s="20"/>
      <c r="N9" s="21"/>
      <c r="O9" s="21"/>
      <c r="P9" s="20"/>
      <c r="Q9" s="147"/>
      <c r="S9" s="448"/>
      <c r="T9" s="448"/>
      <c r="U9" s="448"/>
      <c r="V9" s="448"/>
      <c r="W9" s="448"/>
    </row>
    <row r="10" spans="2:23" ht="12" customHeight="1">
      <c r="B10" s="16"/>
      <c r="C10" s="23"/>
      <c r="D10" s="445"/>
      <c r="E10" s="187" t="s">
        <v>111</v>
      </c>
      <c r="F10" s="5"/>
      <c r="G10" s="23"/>
      <c r="H10" s="260">
        <f>IF($F$8=0,0,IF(H9=0,0,IF(EDATE(H9,12/$F$10)&lt;=$F$8,EDATE(H9,12/$F$10),0)))</f>
        <v>0</v>
      </c>
      <c r="I10" s="265"/>
      <c r="J10" s="20"/>
      <c r="K10" s="39"/>
      <c r="L10" s="453" t="str">
        <f>IF(F5="","Scrivere il Codice Isin nella Cella F5",HYPERLINK(Q11,"Vai al Display del Titolo con la sua quotazione"))</f>
        <v>Scrivere il Codice Isin nella Cella F5</v>
      </c>
      <c r="M10" s="454"/>
      <c r="N10" s="455"/>
      <c r="O10" s="21"/>
      <c r="P10" s="20"/>
      <c r="Q10" s="147" t="s">
        <v>97</v>
      </c>
      <c r="S10" s="448"/>
      <c r="T10" s="448"/>
      <c r="U10" s="448"/>
      <c r="V10" s="448"/>
      <c r="W10" s="448"/>
    </row>
    <row r="11" spans="2:23" ht="12" customHeight="1" thickBot="1">
      <c r="B11" s="16"/>
      <c r="C11" s="337" t="s">
        <v>90</v>
      </c>
      <c r="D11" s="445"/>
      <c r="E11" s="187" t="s">
        <v>119</v>
      </c>
      <c r="F11" s="6"/>
      <c r="G11" s="23"/>
      <c r="H11" s="260">
        <f>IF($F$8=0,0,IF(H10=0,0,IF(EDATE(H10,12/$F$10)&lt;=$F$8,EDATE(H10,12/$F$10),0)))</f>
        <v>0</v>
      </c>
      <c r="I11" s="265"/>
      <c r="J11" s="20"/>
      <c r="K11" s="39"/>
      <c r="L11" s="456"/>
      <c r="M11" s="457"/>
      <c r="N11" s="458"/>
      <c r="O11" s="21"/>
      <c r="P11" s="20"/>
      <c r="Q11" s="147" t="str">
        <f>CONCATENATE(Q10,F5,"&amp;market=MOT&amp;lang=it")</f>
        <v>http://www.borsaitaliana.it/borsa/quotazioni/obbligazioni/obbligazioni-in-euro/dati-completi.html?isin=&amp;market=MOT&amp;lang=it</v>
      </c>
      <c r="R11" s="20"/>
      <c r="S11" s="449"/>
      <c r="T11" s="449"/>
      <c r="U11" s="449"/>
      <c r="V11" s="449"/>
      <c r="W11" s="448"/>
    </row>
    <row r="12" spans="2:23" ht="12" customHeight="1" thickTop="1">
      <c r="B12" s="16"/>
      <c r="C12" s="330">
        <v>0.125</v>
      </c>
      <c r="D12" s="445"/>
      <c r="E12" s="187" t="s">
        <v>76</v>
      </c>
      <c r="F12" s="137">
        <f>IF(F9=0,0,(F9-F7))</f>
        <v>0</v>
      </c>
      <c r="G12" s="23"/>
      <c r="H12" s="260">
        <f>IF($F$8=0,0,IF(H11=0,0,IF(EDATE(H11,12/$F$10)&lt;=$F$8,EDATE(H11,12/$F$10),0)))</f>
        <v>0</v>
      </c>
      <c r="I12" s="265"/>
      <c r="J12" s="20"/>
      <c r="K12" s="39"/>
      <c r="L12" s="20"/>
      <c r="M12" s="20"/>
      <c r="N12" s="20"/>
      <c r="O12" s="21"/>
      <c r="P12" s="20"/>
      <c r="R12" s="20"/>
      <c r="S12" s="449"/>
      <c r="T12" s="449"/>
      <c r="U12" s="449"/>
      <c r="V12" s="449"/>
      <c r="W12" s="448"/>
    </row>
    <row r="13" spans="2:23" ht="12" customHeight="1">
      <c r="B13" s="16"/>
      <c r="C13" s="23"/>
      <c r="D13" s="445"/>
      <c r="E13" s="117" t="s">
        <v>34</v>
      </c>
      <c r="F13" s="125">
        <f>IF(OR(F6=0,F8=0),100,IF(F9&gt;F7,F9-C12*F12,F9))</f>
        <v>100</v>
      </c>
      <c r="G13" s="23"/>
      <c r="H13" s="260">
        <f>IF($F$8=0,0,IF(H12=0,0,IF(EDATE(H12,12/$F$10)&lt;=$F$8,EDATE(H12,12/$F$10),0)))</f>
        <v>0</v>
      </c>
      <c r="I13" s="265"/>
      <c r="J13" s="20"/>
      <c r="K13" s="39"/>
      <c r="O13" s="21"/>
      <c r="P13" s="20"/>
      <c r="R13" s="20"/>
      <c r="S13" s="449"/>
      <c r="T13" s="449"/>
      <c r="U13" s="449"/>
      <c r="V13" s="449"/>
      <c r="W13" s="448"/>
    </row>
    <row r="14" spans="2:22" ht="10.5" customHeight="1">
      <c r="B14" s="16"/>
      <c r="C14" s="20"/>
      <c r="D14" s="445"/>
      <c r="E14" s="52" t="s">
        <v>37</v>
      </c>
      <c r="F14" s="52">
        <f>IF(OR(F6=0,F8=0),0,YEARFRAC(F8,F6,0))</f>
        <v>0</v>
      </c>
      <c r="G14" s="23"/>
      <c r="H14" s="260">
        <f>IF($F$8=0,0,IF(H13=0,0,IF(EDATE(H13,12/$F$10)&lt;=$F$8,EDATE(H13,12/$F$10),0)))</f>
        <v>0</v>
      </c>
      <c r="I14" s="265"/>
      <c r="J14" s="20"/>
      <c r="K14" s="39"/>
      <c r="L14" s="141" t="s">
        <v>15</v>
      </c>
      <c r="M14" s="176"/>
      <c r="N14" s="177"/>
      <c r="O14" s="21"/>
      <c r="P14" s="20"/>
      <c r="R14" s="20"/>
      <c r="S14" s="20"/>
      <c r="T14" s="20"/>
      <c r="U14" s="20"/>
      <c r="V14" s="20"/>
    </row>
    <row r="15" spans="2:22" ht="11.25" customHeight="1">
      <c r="B15" s="16"/>
      <c r="C15" s="20"/>
      <c r="D15" s="445"/>
      <c r="E15" s="52" t="s">
        <v>83</v>
      </c>
      <c r="F15" s="7"/>
      <c r="G15" s="24"/>
      <c r="H15" s="260">
        <f>IF($F$8=0,0,IF(H14=0,0,IF(EDATE(H14,12/$F$10)&lt;=$F$8,EDATE(H14,12/$F$10),0)))</f>
        <v>0</v>
      </c>
      <c r="I15" s="266"/>
      <c r="J15" s="46"/>
      <c r="K15" s="76"/>
      <c r="L15" s="142" t="s">
        <v>16</v>
      </c>
      <c r="M15" s="25" t="s">
        <v>141</v>
      </c>
      <c r="N15" s="304"/>
      <c r="O15" s="77"/>
      <c r="P15" s="46"/>
      <c r="R15" s="20"/>
      <c r="S15" s="20"/>
      <c r="T15" s="20"/>
      <c r="U15" s="20"/>
      <c r="V15" s="20"/>
    </row>
    <row r="16" spans="2:22" ht="12.75" customHeight="1">
      <c r="B16" s="16"/>
      <c r="C16" s="276" t="s">
        <v>59</v>
      </c>
      <c r="D16" s="446"/>
      <c r="E16" s="65" t="s">
        <v>84</v>
      </c>
      <c r="F16" s="7"/>
      <c r="H16" s="260">
        <f>IF($F$8=0,0,IF(H15=0,0,IF(EDATE(H15,12/$F$10)&lt;=$F$8,EDATE(H15,12/$F$10),0)))</f>
        <v>0</v>
      </c>
      <c r="I16" s="266"/>
      <c r="J16" s="46"/>
      <c r="K16" s="76"/>
      <c r="L16" s="18" t="s">
        <v>140</v>
      </c>
      <c r="M16" s="9"/>
      <c r="N16" s="183"/>
      <c r="O16" s="77"/>
      <c r="P16" s="46"/>
      <c r="R16" s="20"/>
      <c r="S16" s="20"/>
      <c r="T16" s="20"/>
      <c r="U16" s="20"/>
      <c r="V16" s="20"/>
    </row>
    <row r="17" spans="2:22" ht="11.25">
      <c r="B17" s="16"/>
      <c r="C17" s="277" t="s">
        <v>60</v>
      </c>
      <c r="E17" s="25" t="s">
        <v>120</v>
      </c>
      <c r="F17" s="7"/>
      <c r="H17" s="260">
        <f>IF($F$8=0,0,IF(H16=0,0,IF(EDATE(H16,12/$F$10)&lt;=$F$8,EDATE(H16,12/$F$10),0)))</f>
        <v>0</v>
      </c>
      <c r="I17" s="266"/>
      <c r="J17" s="46"/>
      <c r="K17" s="76"/>
      <c r="L17" s="18" t="s">
        <v>75</v>
      </c>
      <c r="M17" s="30">
        <f>M16*F25/100</f>
        <v>0</v>
      </c>
      <c r="N17" s="183"/>
      <c r="O17" s="77"/>
      <c r="P17" s="46"/>
      <c r="R17" s="20"/>
      <c r="S17" s="20"/>
      <c r="T17" s="20"/>
      <c r="U17" s="20"/>
      <c r="V17" s="20"/>
    </row>
    <row r="18" spans="2:22" ht="11.25">
      <c r="B18" s="16"/>
      <c r="C18" s="278" t="s">
        <v>61</v>
      </c>
      <c r="E18" s="25"/>
      <c r="F18" s="268">
        <f>IF(F15=0,1,F15)</f>
        <v>1</v>
      </c>
      <c r="H18" s="260">
        <f>IF($F$8=0,0,IF(H17=0,0,IF(EDATE(H17,12/$F$10)&lt;=$F$8,EDATE(H17,12/$F$10),0)))</f>
        <v>0</v>
      </c>
      <c r="I18" s="261"/>
      <c r="J18" s="32"/>
      <c r="K18" s="81"/>
      <c r="L18" s="18" t="s">
        <v>69</v>
      </c>
      <c r="M18" s="158">
        <f>M16*F28/100</f>
        <v>0</v>
      </c>
      <c r="N18" s="183"/>
      <c r="O18" s="82"/>
      <c r="P18" s="32"/>
      <c r="R18" s="20"/>
      <c r="S18" s="20"/>
      <c r="T18" s="20"/>
      <c r="U18" s="20"/>
      <c r="V18" s="20"/>
    </row>
    <row r="19" spans="2:22" ht="11.25">
      <c r="B19" s="16"/>
      <c r="C19" s="279" t="s">
        <v>62</v>
      </c>
      <c r="F19" s="275">
        <v>2</v>
      </c>
      <c r="H19" s="260">
        <f>IF($F$8=0,0,IF(H18=0,0,IF(EDATE(H18,12/$F$10)&lt;=$F$8,EDATE(H18,12/$F$10),0)))</f>
        <v>0</v>
      </c>
      <c r="I19" s="261"/>
      <c r="J19" s="32"/>
      <c r="K19" s="81"/>
      <c r="L19" s="18" t="s">
        <v>143</v>
      </c>
      <c r="M19" s="52">
        <f>IF(E26=1,M16*F26/100,M17*F26/100)</f>
        <v>0</v>
      </c>
      <c r="N19" s="183"/>
      <c r="O19" s="82"/>
      <c r="P19" s="32"/>
      <c r="Q19" s="122"/>
      <c r="R19" s="20"/>
      <c r="S19" s="20"/>
      <c r="T19" s="20"/>
      <c r="U19" s="20"/>
      <c r="V19" s="20"/>
    </row>
    <row r="20" spans="2:22" ht="11.25">
      <c r="B20" s="16"/>
      <c r="H20" s="260">
        <f>IF($F$8=0,0,IF(H19=0,0,IF(EDATE(H19,12/$F$10)&lt;=$F$8,EDATE(H19,12/$F$10),0)))</f>
        <v>0</v>
      </c>
      <c r="I20" s="261"/>
      <c r="J20" s="32"/>
      <c r="K20" s="81"/>
      <c r="L20" s="18" t="s">
        <v>4</v>
      </c>
      <c r="M20" s="10"/>
      <c r="N20" s="302"/>
      <c r="O20" s="82"/>
      <c r="P20" s="32"/>
      <c r="Q20" s="122"/>
      <c r="R20" s="20"/>
      <c r="S20" s="20"/>
      <c r="T20" s="20"/>
      <c r="U20" s="20"/>
      <c r="V20" s="20"/>
    </row>
    <row r="21" spans="2:22" ht="11.25">
      <c r="B21" s="16"/>
      <c r="D21" s="270" t="s">
        <v>147</v>
      </c>
      <c r="E21" s="112"/>
      <c r="F21" s="271"/>
      <c r="H21" s="260">
        <f>IF($F$8=0,0,IF(H20=0,0,IF(EDATE(H20,12/$F$10)&lt;=$F$8,EDATE(H20,12/$F$10),0)))</f>
        <v>0</v>
      </c>
      <c r="I21" s="261"/>
      <c r="J21" s="32"/>
      <c r="K21" s="81"/>
      <c r="L21" s="18" t="s">
        <v>70</v>
      </c>
      <c r="M21" s="52">
        <f>IF(M16=0,0,F34*M16/100)</f>
        <v>0</v>
      </c>
      <c r="N21" s="183"/>
      <c r="O21" s="82"/>
      <c r="P21" s="32"/>
      <c r="Q21" s="122"/>
      <c r="R21" s="203"/>
      <c r="S21" s="20"/>
      <c r="T21" s="20"/>
      <c r="U21" s="20"/>
      <c r="V21" s="20"/>
    </row>
    <row r="22" spans="2:22" ht="12.75" customHeight="1">
      <c r="B22" s="16"/>
      <c r="D22" s="272" t="s">
        <v>148</v>
      </c>
      <c r="E22" s="273"/>
      <c r="F22" s="274"/>
      <c r="H22" s="260">
        <f>IF($F$8=0,0,IF(H21=0,0,IF(EDATE(H21,12/$F$10)&lt;=$F$8,EDATE(H21,12/$F$10),0)))</f>
        <v>0</v>
      </c>
      <c r="I22" s="261"/>
      <c r="J22" s="32"/>
      <c r="K22" s="81"/>
      <c r="L22" s="18" t="s">
        <v>3</v>
      </c>
      <c r="M22" s="164">
        <f>IF(M16=0,0,(M17-M18+M19+M20)/M16*100)</f>
        <v>0</v>
      </c>
      <c r="N22" s="212"/>
      <c r="O22" s="82"/>
      <c r="P22" s="32"/>
      <c r="Q22" s="122"/>
      <c r="S22" s="20"/>
      <c r="T22" s="20"/>
      <c r="U22" s="20"/>
      <c r="V22" s="20"/>
    </row>
    <row r="23" spans="2:22" ht="12.75" customHeight="1">
      <c r="B23" s="16"/>
      <c r="C23" s="467" t="s">
        <v>151</v>
      </c>
      <c r="D23" s="181"/>
      <c r="E23" s="333"/>
      <c r="F23" s="2"/>
      <c r="H23" s="260">
        <f>IF($F$8=0,0,IF(H22=0,0,IF(EDATE(H22,12/$F$10)&lt;=$F$8,EDATE(H22,12/$F$10),0)))</f>
        <v>0</v>
      </c>
      <c r="I23" s="261"/>
      <c r="J23" s="32"/>
      <c r="K23" s="81"/>
      <c r="L23" s="18" t="s">
        <v>23</v>
      </c>
      <c r="M23" s="30">
        <f>-M18*C12</f>
        <v>0</v>
      </c>
      <c r="N23" s="183"/>
      <c r="O23" s="82"/>
      <c r="P23" s="32"/>
      <c r="Q23" s="167"/>
      <c r="R23" s="20"/>
      <c r="S23" s="20"/>
      <c r="T23" s="20"/>
      <c r="U23" s="20"/>
      <c r="V23" s="20"/>
    </row>
    <row r="24" spans="2:22" ht="11.25">
      <c r="B24" s="16"/>
      <c r="C24" s="468"/>
      <c r="D24" s="114" t="s">
        <v>101</v>
      </c>
      <c r="E24" s="48"/>
      <c r="F24" s="4"/>
      <c r="G24" s="81"/>
      <c r="H24" s="260">
        <f>IF($F$8=0,0,IF(H23=0,0,IF(EDATE(H23,12/$F$10)&lt;=$F$8,EDATE(H23,12/$F$10),0)))</f>
        <v>0</v>
      </c>
      <c r="I24" s="261"/>
      <c r="J24" s="32"/>
      <c r="K24" s="81"/>
      <c r="L24" s="18" t="s">
        <v>87</v>
      </c>
      <c r="M24" s="30">
        <f>-M21*C12</f>
        <v>0</v>
      </c>
      <c r="N24" s="183"/>
      <c r="O24" s="82"/>
      <c r="P24" s="32"/>
      <c r="Q24" s="122"/>
      <c r="R24" s="20"/>
      <c r="S24" s="20"/>
      <c r="T24" s="20"/>
      <c r="U24" s="20"/>
      <c r="V24" s="20"/>
    </row>
    <row r="25" spans="2:22" ht="11.25">
      <c r="B25" s="16"/>
      <c r="C25" s="468"/>
      <c r="D25" s="171" t="s">
        <v>7</v>
      </c>
      <c r="E25" s="114"/>
      <c r="F25" s="116"/>
      <c r="G25" s="84"/>
      <c r="H25" s="260">
        <f>IF($F$8=0,0,IF(H24=0,0,IF(EDATE(H24,12/$F$10)&lt;=$F$8,EDATE(H24,12/$F$10),0)))</f>
        <v>0</v>
      </c>
      <c r="I25" s="261"/>
      <c r="J25" s="46"/>
      <c r="K25" s="76"/>
      <c r="L25" s="34" t="s">
        <v>144</v>
      </c>
      <c r="M25" s="35">
        <f>M17+M19+M20+M21+M23+M24</f>
        <v>0</v>
      </c>
      <c r="N25" s="303"/>
      <c r="O25" s="77"/>
      <c r="P25" s="46"/>
      <c r="Q25" s="122"/>
      <c r="R25" s="20"/>
      <c r="S25" s="20"/>
      <c r="T25" s="20"/>
      <c r="U25" s="20"/>
      <c r="V25" s="20"/>
    </row>
    <row r="26" spans="2:22" ht="16.5" customHeight="1">
      <c r="B26" s="16"/>
      <c r="C26" s="468"/>
      <c r="D26" s="171"/>
      <c r="E26" s="339">
        <v>2</v>
      </c>
      <c r="F26" s="106"/>
      <c r="G26" s="84"/>
      <c r="H26" s="260">
        <f>IF($F$8=0,0,IF(H25=0,0,IF(EDATE(H25,12/$F$10)&lt;=$F$8,EDATE(H25,12/$F$10),0)))</f>
        <v>0</v>
      </c>
      <c r="I26" s="261"/>
      <c r="J26" s="46"/>
      <c r="K26" s="76"/>
      <c r="N26" s="46"/>
      <c r="O26" s="77"/>
      <c r="P26" s="46"/>
      <c r="Q26" s="169"/>
      <c r="R26" s="20"/>
      <c r="S26" s="20"/>
      <c r="T26" s="20"/>
      <c r="U26" s="20"/>
      <c r="V26" s="20"/>
    </row>
    <row r="27" spans="2:22" ht="11.25">
      <c r="B27" s="16"/>
      <c r="C27" s="468"/>
      <c r="D27" s="109" t="s">
        <v>39</v>
      </c>
      <c r="E27" s="110"/>
      <c r="F27" s="53">
        <f>IF(F24=0,0,$F$12/($F$8-$F$6)*(F24-$F$6)+$F$7)</f>
        <v>0</v>
      </c>
      <c r="H27" s="260">
        <f>IF($F$8=0,0,IF(H26=0,0,IF(EDATE(H26,12/$F$10)&lt;=$F$8,EDATE(H26,12/$F$10),0)))</f>
        <v>0</v>
      </c>
      <c r="I27" s="261"/>
      <c r="J27" s="46"/>
      <c r="K27" s="76"/>
      <c r="L27" s="141" t="s">
        <v>15</v>
      </c>
      <c r="M27" s="176"/>
      <c r="N27" s="46"/>
      <c r="O27" s="77"/>
      <c r="P27" s="46"/>
      <c r="Q27" s="122"/>
      <c r="R27" s="20"/>
      <c r="S27" s="20"/>
      <c r="T27" s="20"/>
      <c r="U27" s="20"/>
      <c r="V27" s="20"/>
    </row>
    <row r="28" spans="2:22" ht="11.25">
      <c r="B28" s="16"/>
      <c r="C28" s="468"/>
      <c r="D28" s="171" t="s">
        <v>14</v>
      </c>
      <c r="E28" s="114"/>
      <c r="F28" s="168">
        <f>IF(OR($F$8=0,$F$7=0,F24=0,F25=0,$F$7&gt;$F$8),0,F27-$F$7)</f>
        <v>0</v>
      </c>
      <c r="G28" s="126"/>
      <c r="H28" s="260">
        <f>IF($F$8=0,0,IF(H27=0,0,IF(EDATE(H27,12/$F$10)&lt;=$F$8,EDATE(H27,12/$F$10),0)))</f>
        <v>0</v>
      </c>
      <c r="I28" s="261"/>
      <c r="J28" s="46"/>
      <c r="K28" s="76"/>
      <c r="L28" s="142" t="s">
        <v>17</v>
      </c>
      <c r="M28" s="25" t="s">
        <v>141</v>
      </c>
      <c r="N28" s="304"/>
      <c r="O28" s="77"/>
      <c r="P28" s="46"/>
      <c r="Q28" s="122"/>
      <c r="R28" s="20"/>
      <c r="S28" s="20"/>
      <c r="T28" s="94"/>
      <c r="U28" s="134"/>
      <c r="V28" s="20"/>
    </row>
    <row r="29" spans="2:22" ht="11.25">
      <c r="B29" s="16"/>
      <c r="C29" s="468"/>
      <c r="D29" s="179" t="s">
        <v>74</v>
      </c>
      <c r="E29" s="120"/>
      <c r="F29" s="130">
        <f>F25-F28</f>
        <v>0</v>
      </c>
      <c r="G29" s="126"/>
      <c r="H29" s="260">
        <f>IF($F$8=0,0,IF(H28=0,0,IF(EDATE(H28,12/$F$10)&lt;=$F$8,EDATE(H28,12/$F$10),0)))</f>
        <v>0</v>
      </c>
      <c r="I29" s="261"/>
      <c r="J29" s="85"/>
      <c r="K29" s="86"/>
      <c r="L29" s="18" t="s">
        <v>140</v>
      </c>
      <c r="M29" s="140">
        <f>M16</f>
        <v>0</v>
      </c>
      <c r="N29" s="183"/>
      <c r="O29" s="87"/>
      <c r="P29" s="85"/>
      <c r="Q29" s="122"/>
      <c r="R29" s="20"/>
      <c r="S29" s="20"/>
      <c r="T29" s="20"/>
      <c r="U29" s="20"/>
      <c r="V29" s="20"/>
    </row>
    <row r="30" spans="2:22" s="42" customFormat="1" ht="11.25">
      <c r="B30" s="40"/>
      <c r="C30" s="468"/>
      <c r="D30" s="179" t="s">
        <v>21</v>
      </c>
      <c r="E30" s="120"/>
      <c r="F30" s="123">
        <f>-F28*C12</f>
        <v>0</v>
      </c>
      <c r="G30" s="83"/>
      <c r="H30" s="260">
        <f>IF($F$8=0,0,IF(H29=0,0,IF(EDATE(H29,12/$F$10)&lt;=$F$8,EDATE(H29,12/$F$10),0)))</f>
        <v>0</v>
      </c>
      <c r="I30" s="259"/>
      <c r="J30" s="89"/>
      <c r="K30" s="90"/>
      <c r="L30" s="18" t="s">
        <v>75</v>
      </c>
      <c r="M30" s="30">
        <f>IF(F41&lt;&gt;0,M29*F42/100,F13*M29/100)</f>
        <v>0</v>
      </c>
      <c r="N30" s="183"/>
      <c r="O30" s="43"/>
      <c r="P30" s="89"/>
      <c r="Q30" s="169"/>
      <c r="R30" s="159"/>
      <c r="S30" s="89"/>
      <c r="T30" s="89"/>
      <c r="U30" s="89"/>
      <c r="V30" s="89"/>
    </row>
    <row r="31" spans="2:22" s="42" customFormat="1" ht="11.25">
      <c r="B31" s="40"/>
      <c r="C31" s="468"/>
      <c r="D31" s="114" t="s">
        <v>146</v>
      </c>
      <c r="E31" s="48"/>
      <c r="F31" s="162">
        <f>IF(OR(F24=0,F25=0,F9=0),0,F13)</f>
        <v>0</v>
      </c>
      <c r="G31" s="84"/>
      <c r="H31" s="260">
        <f>IF($F$8=0,0,IF(H30=0,0,IF(EDATE(H30,12/$F$10)&lt;=$F$8,EDATE(H30,12/$F$10),0)))</f>
        <v>0</v>
      </c>
      <c r="I31" s="259"/>
      <c r="J31" s="89"/>
      <c r="K31" s="90"/>
      <c r="L31" s="18" t="s">
        <v>69</v>
      </c>
      <c r="M31" s="157">
        <f>IF(F41&lt;&gt;0,F46*M29/100,IF(F7&gt;F9,0,F12*M29/100))</f>
        <v>0</v>
      </c>
      <c r="N31" s="183"/>
      <c r="O31" s="43"/>
      <c r="P31" s="89"/>
      <c r="Q31" s="122"/>
      <c r="R31" s="159"/>
      <c r="S31" s="127"/>
      <c r="T31" s="129"/>
      <c r="U31" s="129"/>
      <c r="V31" s="89"/>
    </row>
    <row r="32" spans="2:22" s="42" customFormat="1" ht="11.25" customHeight="1">
      <c r="B32" s="40"/>
      <c r="C32" s="468"/>
      <c r="D32" s="173" t="s">
        <v>47</v>
      </c>
      <c r="E32" s="115"/>
      <c r="F32" s="41">
        <f>IF(F10=0,0,COUPPCD(F24,F8,F10,1))</f>
        <v>0</v>
      </c>
      <c r="G32" s="84"/>
      <c r="H32" s="260">
        <f>IF($F$8=0,0,IF(H31=0,0,IF(EDATE(H31,12/$F$10)&lt;=$F$8,EDATE(H31,12/$F$10),0)))</f>
        <v>0</v>
      </c>
      <c r="I32" s="259"/>
      <c r="J32" s="89"/>
      <c r="K32" s="90"/>
      <c r="L32" s="18" t="s">
        <v>143</v>
      </c>
      <c r="M32" s="102">
        <f>IF(E43=1,M29*F43/100,M30*F43/100)</f>
        <v>0</v>
      </c>
      <c r="N32" s="183"/>
      <c r="O32" s="43"/>
      <c r="P32" s="89"/>
      <c r="R32" s="159"/>
      <c r="S32" s="127"/>
      <c r="T32" s="129"/>
      <c r="U32" s="129"/>
      <c r="V32" s="89"/>
    </row>
    <row r="33" spans="2:22" ht="11.25">
      <c r="B33" s="16"/>
      <c r="C33" s="468"/>
      <c r="D33" s="173" t="s">
        <v>48</v>
      </c>
      <c r="E33" s="115"/>
      <c r="F33" s="41">
        <f>IF(OR($F$10=0,F24=0),0,COUPNCD(F24,$F$8,$F$10,1))</f>
        <v>0</v>
      </c>
      <c r="G33" s="88"/>
      <c r="H33" s="260">
        <f>IF($F$8=0,0,IF(H32=0,0,IF(EDATE(H32,12/$F$10)&lt;=$F$8,EDATE(H32,12/$F$10),0)))</f>
        <v>0</v>
      </c>
      <c r="I33" s="259"/>
      <c r="J33" s="22"/>
      <c r="K33" s="91"/>
      <c r="L33" s="18" t="s">
        <v>4</v>
      </c>
      <c r="M33" s="10"/>
      <c r="N33" s="305"/>
      <c r="O33" s="71"/>
      <c r="P33" s="22"/>
      <c r="R33" s="20"/>
      <c r="S33" s="20"/>
      <c r="T33" s="20"/>
      <c r="U33" s="20"/>
      <c r="V33" s="20"/>
    </row>
    <row r="34" spans="2:22" ht="11.25" customHeight="1">
      <c r="B34" s="16"/>
      <c r="C34" s="468"/>
      <c r="D34" s="171" t="s">
        <v>70</v>
      </c>
      <c r="E34" s="114"/>
      <c r="F34" s="125">
        <f>IF(F24=0,0,IF($F$10&gt;1,FLOOR($F$11/$F$10*(F24-F32)/(F33-F32)*100,0.000001)*$F$10,YEARFRAC(F32,F24,F19-1)*$F$11*100))</f>
        <v>0</v>
      </c>
      <c r="G34" s="88"/>
      <c r="H34" s="260">
        <f>IF($F$8=0,0,IF(H33=0,0,IF(EDATE(H33,12/$F$10)&lt;=$F$8,EDATE(H33,12/$F$10),0)))</f>
        <v>0</v>
      </c>
      <c r="I34" s="259"/>
      <c r="J34" s="20"/>
      <c r="K34" s="39"/>
      <c r="L34" s="18" t="s">
        <v>70</v>
      </c>
      <c r="M34" s="30">
        <f>IF(OR(F10=0,F11=0,F24=0),0,IF(F41&lt;&gt;0,F52*M29/100,(VLOOKUP(F8,C64:G123,5,FALSE)/(1-C12))*M16))</f>
        <v>0</v>
      </c>
      <c r="N34" s="183"/>
      <c r="O34" s="21"/>
      <c r="P34" s="20"/>
      <c r="R34" s="132"/>
      <c r="S34" s="32"/>
      <c r="T34" s="46"/>
      <c r="U34" s="20"/>
      <c r="V34" s="20"/>
    </row>
    <row r="35" spans="2:22" ht="11.25">
      <c r="B35" s="16"/>
      <c r="C35" s="468"/>
      <c r="D35" s="171" t="s">
        <v>132</v>
      </c>
      <c r="E35" s="114"/>
      <c r="F35" s="125">
        <f>F34*(1-C12)</f>
        <v>0</v>
      </c>
      <c r="G35" s="88"/>
      <c r="H35" s="260">
        <f>IF($F$8=0,0,IF(H34=0,0,IF(EDATE(H34,12/$F$10)&lt;=$F$8,EDATE(H34,12/$F$10),0)))</f>
        <v>0</v>
      </c>
      <c r="I35" s="259"/>
      <c r="J35" s="20"/>
      <c r="K35" s="39"/>
      <c r="L35" s="155" t="s">
        <v>24</v>
      </c>
      <c r="M35" s="175">
        <f>IF(M16=0,0,(M30-M31-M32-M33)/M29*100)</f>
        <v>0</v>
      </c>
      <c r="N35" s="76"/>
      <c r="O35" s="21"/>
      <c r="P35" s="20"/>
      <c r="S35" s="32"/>
      <c r="T35" s="46"/>
      <c r="U35" s="20"/>
      <c r="V35" s="20"/>
    </row>
    <row r="36" spans="2:22" ht="12.75" customHeight="1">
      <c r="B36" s="16"/>
      <c r="C36" s="469"/>
      <c r="D36" s="170" t="s">
        <v>133</v>
      </c>
      <c r="E36" s="119"/>
      <c r="F36" s="44">
        <f>IF(F25=0,0,IF(E26=1,F25+F26+F30+F35,F25+F26*F25/100+F30+F35))</f>
        <v>0</v>
      </c>
      <c r="G36" s="297"/>
      <c r="H36" s="20"/>
      <c r="I36" s="20"/>
      <c r="J36" s="20"/>
      <c r="K36" s="39"/>
      <c r="L36" s="18" t="s">
        <v>71</v>
      </c>
      <c r="M36" s="30">
        <f>IF(F41&lt;&gt;0,-F46*C12*M29/100,0)</f>
        <v>0</v>
      </c>
      <c r="N36" s="183"/>
      <c r="O36" s="21"/>
      <c r="P36" s="20"/>
      <c r="R36" s="20"/>
      <c r="V36" s="20"/>
    </row>
    <row r="37" spans="2:22" ht="11.25">
      <c r="B37" s="16"/>
      <c r="G37" s="46"/>
      <c r="H37" s="20"/>
      <c r="I37" s="20"/>
      <c r="J37" s="20"/>
      <c r="K37" s="39"/>
      <c r="L37" s="18" t="s">
        <v>72</v>
      </c>
      <c r="M37" s="30">
        <f>-M34*C12</f>
        <v>0</v>
      </c>
      <c r="N37" s="183"/>
      <c r="O37" s="21"/>
      <c r="P37" s="20"/>
      <c r="Q37" s="122"/>
      <c r="R37" s="20"/>
      <c r="V37" s="20"/>
    </row>
    <row r="38" spans="2:22" ht="12.75" customHeight="1">
      <c r="B38" s="16"/>
      <c r="C38" s="291"/>
      <c r="D38" s="180" t="s">
        <v>8</v>
      </c>
      <c r="E38" s="150"/>
      <c r="F38" s="151"/>
      <c r="G38" s="47"/>
      <c r="H38" s="20"/>
      <c r="I38" s="20"/>
      <c r="J38" s="20"/>
      <c r="K38" s="39"/>
      <c r="L38" s="155" t="s">
        <v>25</v>
      </c>
      <c r="M38" s="148">
        <f>M30-M32-M33+M34+M36+M37</f>
        <v>0</v>
      </c>
      <c r="N38" s="306"/>
      <c r="O38" s="21"/>
      <c r="P38" s="20"/>
      <c r="R38" s="20"/>
      <c r="S38" s="20"/>
      <c r="T38" s="20"/>
      <c r="U38" s="20"/>
      <c r="V38" s="20"/>
    </row>
    <row r="39" spans="2:22" ht="11.25">
      <c r="B39" s="16"/>
      <c r="C39" s="292"/>
      <c r="D39" s="152"/>
      <c r="E39" s="152"/>
      <c r="F39" s="153"/>
      <c r="G39" s="47"/>
      <c r="H39" s="20"/>
      <c r="I39" s="20"/>
      <c r="J39" s="20"/>
      <c r="K39" s="39"/>
      <c r="L39" s="154" t="s">
        <v>5</v>
      </c>
      <c r="M39" s="149"/>
      <c r="N39" s="306"/>
      <c r="O39" s="21"/>
      <c r="P39" s="20"/>
      <c r="R39" s="20"/>
      <c r="S39" s="20"/>
      <c r="T39" s="20"/>
      <c r="U39" s="20"/>
      <c r="V39" s="20"/>
    </row>
    <row r="40" spans="2:22" ht="11.25">
      <c r="B40" s="16"/>
      <c r="C40" s="292"/>
      <c r="D40" s="181"/>
      <c r="E40" s="333"/>
      <c r="F40" s="335"/>
      <c r="G40" s="46"/>
      <c r="H40" s="20"/>
      <c r="I40" s="20"/>
      <c r="J40" s="20"/>
      <c r="K40" s="39"/>
      <c r="N40" s="46"/>
      <c r="O40" s="21"/>
      <c r="P40" s="20"/>
      <c r="R40" s="20"/>
      <c r="S40" s="46"/>
      <c r="T40" s="131"/>
      <c r="U40" s="20"/>
      <c r="V40" s="20"/>
    </row>
    <row r="41" spans="2:22" ht="11.25">
      <c r="B41" s="16"/>
      <c r="C41" s="292"/>
      <c r="D41" s="171" t="s">
        <v>102</v>
      </c>
      <c r="E41" s="114"/>
      <c r="F41" s="138"/>
      <c r="G41" s="49"/>
      <c r="H41" s="20"/>
      <c r="I41" s="20"/>
      <c r="J41" s="20"/>
      <c r="K41" s="39"/>
      <c r="L41" s="18" t="s">
        <v>66</v>
      </c>
      <c r="M41" s="106"/>
      <c r="N41" s="183"/>
      <c r="O41" s="21"/>
      <c r="P41" s="20"/>
      <c r="R41" s="20"/>
      <c r="S41" s="46"/>
      <c r="T41" s="131"/>
      <c r="U41" s="20"/>
      <c r="V41" s="20"/>
    </row>
    <row r="42" spans="2:22" ht="11.25">
      <c r="B42" s="16"/>
      <c r="C42" s="292"/>
      <c r="D42" s="171" t="s">
        <v>6</v>
      </c>
      <c r="E42" s="114"/>
      <c r="F42" s="1"/>
      <c r="G42" s="84"/>
      <c r="H42" s="20"/>
      <c r="I42" s="20"/>
      <c r="J42" s="20"/>
      <c r="K42" s="39"/>
      <c r="L42" s="18" t="s">
        <v>145</v>
      </c>
      <c r="M42" s="30">
        <f>IF(OR(M16=0,F11=0,F10=0),0,M16*F11/F10*(1-C12)-M41)</f>
        <v>0</v>
      </c>
      <c r="N42" s="183"/>
      <c r="O42" s="21"/>
      <c r="P42" s="20"/>
      <c r="R42" s="20"/>
      <c r="S42" s="46"/>
      <c r="T42" s="131"/>
      <c r="U42" s="20"/>
      <c r="V42" s="20"/>
    </row>
    <row r="43" spans="2:22" ht="16.5" customHeight="1">
      <c r="B43" s="16"/>
      <c r="C43" s="292"/>
      <c r="D43" s="171"/>
      <c r="E43" s="339">
        <v>2</v>
      </c>
      <c r="F43" s="1"/>
      <c r="G43" s="84"/>
      <c r="H43" s="20"/>
      <c r="I43" s="20"/>
      <c r="J43" s="20"/>
      <c r="K43" s="39"/>
      <c r="N43" s="46"/>
      <c r="O43" s="21"/>
      <c r="P43" s="20"/>
      <c r="R43" s="20"/>
      <c r="S43" s="46"/>
      <c r="T43" s="131"/>
      <c r="U43" s="20"/>
      <c r="V43" s="20"/>
    </row>
    <row r="44" spans="2:22" ht="11.25">
      <c r="B44" s="16"/>
      <c r="C44" s="292"/>
      <c r="D44" s="171" t="s">
        <v>57</v>
      </c>
      <c r="E44" s="114"/>
      <c r="F44" s="211"/>
      <c r="G44" s="84"/>
      <c r="H44" s="20"/>
      <c r="I44" s="20"/>
      <c r="J44" s="20"/>
      <c r="K44" s="39"/>
      <c r="N44" s="46"/>
      <c r="O44" s="21"/>
      <c r="P44" s="20"/>
      <c r="R44" s="20"/>
      <c r="S44" s="20"/>
      <c r="T44" s="20"/>
      <c r="U44" s="20"/>
      <c r="V44" s="20"/>
    </row>
    <row r="45" spans="2:22" ht="11.25">
      <c r="B45" s="16"/>
      <c r="C45" s="292"/>
      <c r="D45" s="109" t="s">
        <v>39</v>
      </c>
      <c r="E45" s="110"/>
      <c r="F45" s="18">
        <f>IF(F41=0,0,$F$12/($F$8-$F$6)*(F41-$F$6)+$F$7)</f>
        <v>0</v>
      </c>
      <c r="G45" s="76"/>
      <c r="H45" s="20"/>
      <c r="I45" s="20"/>
      <c r="J45" s="20"/>
      <c r="K45" s="39"/>
      <c r="L45" s="113" t="s">
        <v>0</v>
      </c>
      <c r="M45" s="174">
        <f>M35-M22</f>
        <v>0</v>
      </c>
      <c r="N45" s="46"/>
      <c r="O45" s="21"/>
      <c r="P45" s="20"/>
      <c r="R45" s="20"/>
      <c r="S45" s="20"/>
      <c r="T45" s="20"/>
      <c r="U45" s="20"/>
      <c r="V45" s="20"/>
    </row>
    <row r="46" spans="2:22" ht="11.25">
      <c r="B46" s="16"/>
      <c r="C46" s="292"/>
      <c r="D46" s="181" t="s">
        <v>14</v>
      </c>
      <c r="E46" s="114"/>
      <c r="F46" s="124">
        <f>IF(OR($F$7=0,$F$6=0,F41=0,F42=0,$F$7&gt;$F$9),0,F45-$F$7)</f>
        <v>0</v>
      </c>
      <c r="G46" s="84"/>
      <c r="H46" s="20"/>
      <c r="I46" s="20"/>
      <c r="J46" s="20"/>
      <c r="K46" s="39"/>
      <c r="L46" s="113" t="s">
        <v>85</v>
      </c>
      <c r="M46" s="174">
        <f>IF(M45&lt;0,0,M45*C12)</f>
        <v>0</v>
      </c>
      <c r="N46" s="46"/>
      <c r="O46" s="21"/>
      <c r="P46" s="20"/>
      <c r="R46" s="20"/>
      <c r="S46" s="20"/>
      <c r="T46" s="20"/>
      <c r="U46" s="20"/>
      <c r="V46" s="20"/>
    </row>
    <row r="47" spans="2:22" ht="11.25">
      <c r="B47" s="16"/>
      <c r="C47" s="292"/>
      <c r="D47" s="181" t="s">
        <v>74</v>
      </c>
      <c r="E47" s="114"/>
      <c r="F47" s="136">
        <f>F42-F46</f>
        <v>0</v>
      </c>
      <c r="G47" s="84"/>
      <c r="H47" s="20"/>
      <c r="I47" s="20"/>
      <c r="J47" s="20"/>
      <c r="K47" s="39"/>
      <c r="N47" s="46"/>
      <c r="O47" s="21"/>
      <c r="P47" s="20"/>
      <c r="R47" s="139"/>
      <c r="S47" s="20"/>
      <c r="T47" s="20"/>
      <c r="U47" s="20"/>
      <c r="V47" s="20"/>
    </row>
    <row r="48" spans="2:22" ht="11.25">
      <c r="B48" s="16"/>
      <c r="C48" s="292"/>
      <c r="D48" s="179" t="s">
        <v>21</v>
      </c>
      <c r="E48" s="114"/>
      <c r="F48" s="125">
        <f>F46*C12</f>
        <v>0</v>
      </c>
      <c r="G48" s="84"/>
      <c r="H48" s="20"/>
      <c r="I48" s="20"/>
      <c r="J48" s="20"/>
      <c r="K48" s="39"/>
      <c r="L48" s="18" t="s">
        <v>86</v>
      </c>
      <c r="M48" s="30">
        <f>M45*M16/100</f>
        <v>0</v>
      </c>
      <c r="N48" s="183"/>
      <c r="O48" s="21"/>
      <c r="P48" s="20"/>
      <c r="S48" s="20"/>
      <c r="T48" s="20"/>
      <c r="U48" s="20"/>
      <c r="V48" s="20"/>
    </row>
    <row r="49" spans="2:22" ht="11.25">
      <c r="B49" s="16"/>
      <c r="C49" s="292"/>
      <c r="D49" s="171" t="s">
        <v>131</v>
      </c>
      <c r="E49" s="114"/>
      <c r="F49" s="128">
        <f>IF(F41="",0,(F42-F48))</f>
        <v>0</v>
      </c>
      <c r="G49" s="84"/>
      <c r="H49" s="20"/>
      <c r="I49" s="20"/>
      <c r="J49" s="20"/>
      <c r="K49" s="39"/>
      <c r="L49" s="18" t="s">
        <v>33</v>
      </c>
      <c r="M49" s="10"/>
      <c r="N49" s="305"/>
      <c r="O49" s="21"/>
      <c r="P49" s="20"/>
      <c r="R49" s="20"/>
      <c r="S49" s="20"/>
      <c r="T49" s="20"/>
      <c r="U49" s="20"/>
      <c r="V49" s="20"/>
    </row>
    <row r="50" spans="2:22" ht="11.25">
      <c r="B50" s="16"/>
      <c r="C50" s="292"/>
      <c r="D50" s="171" t="s">
        <v>47</v>
      </c>
      <c r="E50" s="114"/>
      <c r="F50" s="41">
        <f>IF(F32=0,0,COUPPCD(F41,F8,F10))</f>
        <v>0</v>
      </c>
      <c r="G50" s="238"/>
      <c r="H50" s="20"/>
      <c r="I50" s="20"/>
      <c r="J50" s="20"/>
      <c r="K50" s="39"/>
      <c r="L50" s="18" t="s">
        <v>2</v>
      </c>
      <c r="M50" s="30">
        <f>IF(M49&gt;M48,0,M48-M49)</f>
        <v>0</v>
      </c>
      <c r="N50" s="183"/>
      <c r="O50" s="21"/>
      <c r="P50" s="20"/>
      <c r="R50" s="133"/>
      <c r="S50" s="20"/>
      <c r="T50" s="20"/>
      <c r="U50" s="20"/>
      <c r="V50" s="20"/>
    </row>
    <row r="51" spans="2:22" ht="11.25">
      <c r="B51" s="16"/>
      <c r="C51" s="292"/>
      <c r="D51" s="15" t="s">
        <v>150</v>
      </c>
      <c r="F51" s="41">
        <f>IF(OR($F$10=0,F42=0),0,COUPNCD(F41,$F$8,$F$10,1))</f>
        <v>0</v>
      </c>
      <c r="G51" s="46"/>
      <c r="H51" s="20"/>
      <c r="I51" s="20"/>
      <c r="J51" s="20"/>
      <c r="K51" s="39"/>
      <c r="L51" s="18" t="s">
        <v>1</v>
      </c>
      <c r="M51" s="30">
        <f>M50*C12</f>
        <v>0</v>
      </c>
      <c r="N51" s="183"/>
      <c r="O51" s="21"/>
      <c r="P51" s="20"/>
      <c r="R51" s="133"/>
      <c r="S51" s="20"/>
      <c r="T51" s="20"/>
      <c r="U51" s="20"/>
      <c r="V51" s="20"/>
    </row>
    <row r="52" spans="2:22" ht="11.25">
      <c r="B52" s="16"/>
      <c r="C52" s="292"/>
      <c r="D52" s="171" t="s">
        <v>70</v>
      </c>
      <c r="E52" s="114"/>
      <c r="F52" s="125">
        <f>IF(F41=0,0,IF($F$10&gt;1,FLOOR($F$11/$F$10*(F41-F49)/(F50-F49)*100,0.000001)*$F$10,YEARFRAC(F50,F41,F19-1)*$F$11*100))</f>
        <v>0</v>
      </c>
      <c r="G52" s="238"/>
      <c r="H52" s="20"/>
      <c r="I52" s="20"/>
      <c r="J52" s="20"/>
      <c r="K52" s="39"/>
      <c r="L52" s="65" t="s">
        <v>35</v>
      </c>
      <c r="M52" s="160">
        <f>IF(M49-M48&lt;0,0,M49-M48)</f>
        <v>0</v>
      </c>
      <c r="N52" s="307"/>
      <c r="O52" s="21"/>
      <c r="P52" s="20"/>
      <c r="R52" s="133"/>
      <c r="S52" s="20"/>
      <c r="T52" s="20"/>
      <c r="U52" s="20"/>
      <c r="V52" s="20"/>
    </row>
    <row r="53" spans="2:22" ht="11.25">
      <c r="B53" s="16"/>
      <c r="C53" s="292"/>
      <c r="D53" s="171" t="s">
        <v>132</v>
      </c>
      <c r="E53" s="114"/>
      <c r="F53" s="125">
        <f>F52*(1-C12)</f>
        <v>0</v>
      </c>
      <c r="G53" s="239"/>
      <c r="H53" s="20"/>
      <c r="I53" s="20"/>
      <c r="J53" s="20"/>
      <c r="K53" s="39"/>
      <c r="N53" s="46"/>
      <c r="O53" s="21"/>
      <c r="P53" s="20"/>
      <c r="R53" s="132"/>
      <c r="S53" s="20"/>
      <c r="T53" s="20"/>
      <c r="U53" s="20"/>
      <c r="V53" s="20"/>
    </row>
    <row r="54" spans="2:22" ht="11.25">
      <c r="B54" s="16"/>
      <c r="C54" s="290"/>
      <c r="D54" s="194" t="s">
        <v>32</v>
      </c>
      <c r="E54" s="114"/>
      <c r="F54" s="163">
        <f>IF(F41="",0,IF(E43=1,F53+F49-F43,F53+F49-F43*F42/100))</f>
        <v>0</v>
      </c>
      <c r="G54" s="84"/>
      <c r="H54" s="20"/>
      <c r="I54" s="20"/>
      <c r="J54" s="20"/>
      <c r="K54" s="39"/>
      <c r="N54" s="46"/>
      <c r="O54" s="21"/>
      <c r="P54" s="20"/>
      <c r="R54" s="20"/>
      <c r="S54" s="20"/>
      <c r="T54" s="20"/>
      <c r="U54" s="20"/>
      <c r="V54" s="20"/>
    </row>
    <row r="55" spans="2:22" ht="19.5">
      <c r="B55" s="16"/>
      <c r="G55" s="46"/>
      <c r="H55" s="20"/>
      <c r="I55" s="20"/>
      <c r="J55" s="20"/>
      <c r="K55" s="39"/>
      <c r="L55" s="161" t="s">
        <v>31</v>
      </c>
      <c r="M55" s="79">
        <f>M38-M51</f>
        <v>0</v>
      </c>
      <c r="N55" s="303"/>
      <c r="O55" s="21"/>
      <c r="P55" s="20"/>
      <c r="R55" s="20"/>
      <c r="S55" s="20"/>
      <c r="T55" s="20"/>
      <c r="U55" s="20"/>
      <c r="V55" s="20"/>
    </row>
    <row r="56" spans="2:22" ht="11.25" customHeight="1">
      <c r="B56" s="16"/>
      <c r="C56" s="470" t="s">
        <v>134</v>
      </c>
      <c r="D56" s="482" t="s">
        <v>49</v>
      </c>
      <c r="E56" s="483"/>
      <c r="F56" s="52">
        <f>IF(OR(F24=0,F25=0),0,SUM(H63:H123))</f>
        <v>0</v>
      </c>
      <c r="G56" s="84"/>
      <c r="H56" s="22"/>
      <c r="I56" s="22"/>
      <c r="J56" s="22"/>
      <c r="K56" s="91"/>
      <c r="N56" s="46"/>
      <c r="O56" s="71"/>
      <c r="P56" s="22"/>
      <c r="R56" s="20"/>
      <c r="S56" s="20"/>
      <c r="T56" s="20"/>
      <c r="U56" s="20"/>
      <c r="V56" s="20"/>
    </row>
    <row r="57" spans="2:22" ht="9.75">
      <c r="B57" s="16"/>
      <c r="C57" s="471"/>
      <c r="D57" s="482" t="s">
        <v>45</v>
      </c>
      <c r="E57" s="483"/>
      <c r="F57" s="53">
        <f>IF(OR(F8=0,F24=0),0,IF(F41=0,YEARFRAC(F24,F8,1),YEARFRAC(F24,F41,1)))</f>
        <v>0</v>
      </c>
      <c r="G57" s="84"/>
      <c r="H57" s="22"/>
      <c r="I57" s="22"/>
      <c r="J57" s="22"/>
      <c r="K57" s="91"/>
      <c r="L57" s="18" t="s">
        <v>49</v>
      </c>
      <c r="M57" s="79">
        <f>SUM(M63:M123)</f>
        <v>0</v>
      </c>
      <c r="N57" s="303"/>
      <c r="O57" s="71"/>
      <c r="P57" s="22"/>
      <c r="R57" s="20"/>
      <c r="S57" s="20"/>
      <c r="T57" s="20"/>
      <c r="U57" s="20"/>
      <c r="V57" s="20"/>
    </row>
    <row r="58" spans="2:22" ht="9.75">
      <c r="B58" s="16"/>
      <c r="C58" s="471"/>
      <c r="D58" s="482" t="s">
        <v>51</v>
      </c>
      <c r="E58" s="483"/>
      <c r="F58" s="29">
        <f>IF(OR(F24=0,F8=0,F25=0,F9=0),0,-F56/H63/F57)</f>
        <v>0</v>
      </c>
      <c r="G58" s="86"/>
      <c r="H58" s="45"/>
      <c r="I58" s="45"/>
      <c r="J58" s="45"/>
      <c r="K58" s="92"/>
      <c r="L58" s="18" t="s">
        <v>51</v>
      </c>
      <c r="M58" s="36">
        <f>IF(OR(F24=0,F8=0,F25=0,F9=0,F57=0,M25=0),0,M57/M25/F57)</f>
        <v>0</v>
      </c>
      <c r="N58" s="300"/>
      <c r="O58" s="93"/>
      <c r="P58" s="45"/>
      <c r="R58" s="20"/>
      <c r="S58" s="20"/>
      <c r="T58" s="20"/>
      <c r="U58" s="20"/>
      <c r="V58" s="20"/>
    </row>
    <row r="59" spans="2:22" s="56" customFormat="1" ht="24.75" customHeight="1">
      <c r="B59" s="55"/>
      <c r="C59" s="472"/>
      <c r="D59" s="480" t="s">
        <v>11</v>
      </c>
      <c r="E59" s="481"/>
      <c r="F59" s="36">
        <f>IF(OR($F$24=0,$F$8=0,$F$25=0,$F$9=0),0,IF(AND($F$41=0,$F$57&gt;1),XIRR(H63:H123,$C$63:$C$123),IF(AND($F$41=0,$F$57&lt;1),F56/F36/$F$57,IF(AND($F$41&lt;&gt;0,$F$57&gt;1),XIRR(H63:H123,$C$63:$C$123),F56/F36/$F$57))))</f>
        <v>0</v>
      </c>
      <c r="G59" s="300"/>
      <c r="H59" s="94"/>
      <c r="I59" s="94"/>
      <c r="J59" s="94"/>
      <c r="K59" s="95"/>
      <c r="L59" s="218" t="s">
        <v>10</v>
      </c>
      <c r="M59" s="36">
        <f>IF(OR($F$24=0,$F$8=0,$F$25=0,$F$9=0,M25=0),0,IF(AND($F$41=0,$F$57&gt;1),XIRR(M63:M123,$L$63:$L$123),IF(AND($F$41=0,$F$57&lt;1),(M57/M25/$F$57),IF(AND($F$41&lt;&gt;0,$F$57&gt;1),XIRR(M63:M123,$L$63:$L$123),M57/M25/$F$57))))</f>
        <v>0</v>
      </c>
      <c r="N59" s="300"/>
      <c r="O59" s="96"/>
      <c r="P59" s="94"/>
      <c r="Q59" s="165"/>
      <c r="R59" s="111"/>
      <c r="S59" s="111"/>
      <c r="T59" s="111"/>
      <c r="U59" s="111"/>
      <c r="V59" s="111"/>
    </row>
    <row r="60" spans="2:22" s="56" customFormat="1" ht="10.5" thickBot="1">
      <c r="B60" s="58"/>
      <c r="C60" s="59">
        <f>IF(AND(F41&lt;&gt;0,F41=F50),"ATTENZIONE: DATA VENDITA COINCIDENTE CON DATA ULTIMA CEDOLA: RISULTATI NON ATTENDIBILI","")</f>
      </c>
      <c r="D60" s="60"/>
      <c r="E60" s="60"/>
      <c r="F60" s="61"/>
      <c r="G60" s="61"/>
      <c r="H60" s="61"/>
      <c r="I60" s="61"/>
      <c r="J60" s="61"/>
      <c r="K60" s="97"/>
      <c r="L60" s="59"/>
      <c r="M60" s="59"/>
      <c r="N60" s="301"/>
      <c r="O60" s="98"/>
      <c r="P60" s="94"/>
      <c r="Q60" s="166"/>
      <c r="R60" s="111"/>
      <c r="S60" s="111"/>
      <c r="T60" s="111"/>
      <c r="U60" s="111"/>
      <c r="V60" s="111"/>
    </row>
    <row r="61" spans="2:22" ht="10.5" thickTop="1">
      <c r="B61" s="16"/>
      <c r="C61" s="20"/>
      <c r="D61" s="45"/>
      <c r="E61" s="22"/>
      <c r="F61" s="20"/>
      <c r="G61" s="20"/>
      <c r="H61" s="20"/>
      <c r="I61" s="20"/>
      <c r="J61" s="20"/>
      <c r="K61" s="39"/>
      <c r="N61" s="252"/>
      <c r="O61" s="21"/>
      <c r="P61" s="20"/>
      <c r="R61" s="111"/>
      <c r="S61" s="20"/>
      <c r="T61" s="20"/>
      <c r="U61" s="20"/>
      <c r="V61" s="20"/>
    </row>
    <row r="62" spans="2:22" ht="19.5">
      <c r="B62" s="16"/>
      <c r="C62" s="64" t="s">
        <v>52</v>
      </c>
      <c r="D62" s="317"/>
      <c r="E62" s="264" t="s">
        <v>81</v>
      </c>
      <c r="F62" s="18" t="s">
        <v>122</v>
      </c>
      <c r="G62" s="64" t="s">
        <v>50</v>
      </c>
      <c r="H62" s="64" t="s">
        <v>53</v>
      </c>
      <c r="I62" s="308"/>
      <c r="J62" s="28"/>
      <c r="K62" s="78"/>
      <c r="L62" s="64" t="s">
        <v>52</v>
      </c>
      <c r="M62" s="25" t="s">
        <v>141</v>
      </c>
      <c r="N62" s="298"/>
      <c r="O62" s="68"/>
      <c r="P62" s="28"/>
      <c r="S62" s="20"/>
      <c r="T62" s="20"/>
      <c r="U62" s="20"/>
      <c r="V62" s="20"/>
    </row>
    <row r="63" spans="2:16" ht="9.75">
      <c r="B63" s="16"/>
      <c r="C63" s="69">
        <f>F24</f>
        <v>0</v>
      </c>
      <c r="D63" s="11"/>
      <c r="E63" s="18"/>
      <c r="F63" s="18"/>
      <c r="G63" s="65"/>
      <c r="H63" s="66">
        <f>-F36</f>
        <v>0</v>
      </c>
      <c r="I63" s="309"/>
      <c r="J63" s="99"/>
      <c r="K63" s="100"/>
      <c r="L63" s="101">
        <f aca="true" t="shared" si="0" ref="L63:L94">C63</f>
        <v>0</v>
      </c>
      <c r="M63" s="102">
        <f>-M25</f>
        <v>0</v>
      </c>
      <c r="N63" s="183"/>
      <c r="O63" s="70"/>
      <c r="P63" s="99"/>
    </row>
    <row r="64" spans="2:16" ht="9.75">
      <c r="B64" s="16"/>
      <c r="C64" s="69">
        <f>IF(AND($F$41&lt;&gt;"",IF($F$10=0,$F$8,$F$33)&gt;$F$41),$F$41,IF($F$10=0,$F8,$F33))</f>
        <v>0</v>
      </c>
      <c r="D64" s="2"/>
      <c r="E64" s="259"/>
      <c r="F64" s="29">
        <f>IF(OR(C64=0,E64=0),0,$F$17*E64/$F$10)</f>
        <v>0</v>
      </c>
      <c r="G64" s="29">
        <f aca="true" t="shared" si="1" ref="G64:G95">IF(OR(C64=0,C64=$F$41),0,IF(C64&gt;MAX($H$7:$H$35),IF(E64=0,0,IF(F64&gt;$F$18/$F$10,$F$18*(1-$C$12)/$F$10,IF(F64&lt;$F$16/$F$10,$F$16*(1-$C$12)/$F$10,F64*(1-$C$12)))),IF(VLOOKUP(C64,$H$8:$I$35,2,FALSE)&lt;&gt;0,VLOOKUP(C64,$H$8:$I$35,2,FALSE)*(1-$C$12),IF(E64=0,0,IF(F64&gt;$F$18/$F$10,$F$18*(1-$C$12)/$F$10,IF(F64&lt;$F$16/$F$10,$F$16*(1-$C$12)/$F$10,F64*(1-$C$12)))))))</f>
        <v>0</v>
      </c>
      <c r="H64" s="52">
        <f aca="true" t="shared" si="2" ref="H64:H95">IF(AND(C64=0,G64=0),0,IF(AND(C64=$F$8,$F$41=""),G64*100+$F$31,IF(AND(C64&lt;$F$8,$F$41=""),G64*100,IF(C64=$F$41,$F$54+G64*100,G64*100))))</f>
        <v>0</v>
      </c>
      <c r="I64" s="299"/>
      <c r="J64" s="22"/>
      <c r="K64" s="91"/>
      <c r="L64" s="101">
        <f t="shared" si="0"/>
        <v>0</v>
      </c>
      <c r="M64" s="102">
        <f aca="true" t="shared" si="3" ref="M64:M95">IF(L64=0,0,IF(OR(L64=$F$41,L64=$F$8),$M$55,H64*$M$16/100-$M$41))</f>
        <v>0</v>
      </c>
      <c r="N64" s="183"/>
      <c r="O64" s="71"/>
      <c r="P64" s="22"/>
    </row>
    <row r="65" spans="2:16" ht="9.75">
      <c r="B65" s="16"/>
      <c r="C65" s="69">
        <f>IF(OR(C64=$F$8,C64=$F$41),0,IF(C64=$F$41,0,IF(AND(COUPNCD(C64,$F$8,$F$10,1)&gt;$F$41,$F$41&lt;&gt;""),$F$41,(IF(C64=0,0,IF(C64=$F$8,0,COUPNCD(C64,$F$8,$F$10,1)))))))</f>
        <v>0</v>
      </c>
      <c r="D65" s="2"/>
      <c r="E65" s="259"/>
      <c r="F65" s="29">
        <f aca="true" t="shared" si="4" ref="F65:F123">IF(OR(C65=0,E65=0),0,$F$17*E65/$F$10)</f>
        <v>0</v>
      </c>
      <c r="G65" s="29">
        <f t="shared" si="1"/>
        <v>0</v>
      </c>
      <c r="H65" s="52">
        <f t="shared" si="2"/>
        <v>0</v>
      </c>
      <c r="I65" s="299"/>
      <c r="J65" s="22"/>
      <c r="K65" s="91"/>
      <c r="L65" s="101">
        <f t="shared" si="0"/>
        <v>0</v>
      </c>
      <c r="M65" s="102">
        <f t="shared" si="3"/>
        <v>0</v>
      </c>
      <c r="N65" s="183"/>
      <c r="O65" s="71"/>
      <c r="P65" s="22"/>
    </row>
    <row r="66" spans="2:16" ht="9.75">
      <c r="B66" s="16"/>
      <c r="C66" s="69">
        <f>IF(OR(C65=$F$8,C65=$F$41,C65=0),0,IF(C65=$F$41,0,IF(AND(COUPNCD(C65,$F$8,$F$10,1)&gt;$F$41,$F$41&lt;&gt;""),$F$41,(IF(C65=0,0,IF(C65=$F$8,0,COUPNCD(C65,$F$8,$F$10,1)))))))</f>
        <v>0</v>
      </c>
      <c r="D66" s="2"/>
      <c r="E66" s="259"/>
      <c r="F66" s="29">
        <f t="shared" si="4"/>
        <v>0</v>
      </c>
      <c r="G66" s="29">
        <f t="shared" si="1"/>
        <v>0</v>
      </c>
      <c r="H66" s="52">
        <f t="shared" si="2"/>
        <v>0</v>
      </c>
      <c r="I66" s="299"/>
      <c r="J66" s="22"/>
      <c r="K66" s="91"/>
      <c r="L66" s="101">
        <f t="shared" si="0"/>
        <v>0</v>
      </c>
      <c r="M66" s="102">
        <f t="shared" si="3"/>
        <v>0</v>
      </c>
      <c r="N66" s="183"/>
      <c r="O66" s="71"/>
      <c r="P66" s="22"/>
    </row>
    <row r="67" spans="2:16" ht="9.75">
      <c r="B67" s="16"/>
      <c r="C67" s="69">
        <f>IF(OR(C66=$F$8,C66=$F$41,C66=0),0,IF(C66=$F$41,0,IF(AND(COUPNCD(C66,$F$8,$F$10,1)&gt;$F$41,$F$41&lt;&gt;""),$F$41,(IF(C66=0,0,IF(C66=$F$8,0,COUPNCD(C66,$F$8,$F$10,1)))))))</f>
        <v>0</v>
      </c>
      <c r="D67" s="2"/>
      <c r="E67" s="259"/>
      <c r="F67" s="29">
        <f t="shared" si="4"/>
        <v>0</v>
      </c>
      <c r="G67" s="29">
        <f t="shared" si="1"/>
        <v>0</v>
      </c>
      <c r="H67" s="52">
        <f t="shared" si="2"/>
        <v>0</v>
      </c>
      <c r="I67" s="299"/>
      <c r="J67" s="22"/>
      <c r="K67" s="91"/>
      <c r="L67" s="101">
        <f t="shared" si="0"/>
        <v>0</v>
      </c>
      <c r="M67" s="102">
        <f t="shared" si="3"/>
        <v>0</v>
      </c>
      <c r="N67" s="183"/>
      <c r="O67" s="71"/>
      <c r="P67" s="22"/>
    </row>
    <row r="68" spans="2:16" ht="9.75">
      <c r="B68" s="16"/>
      <c r="C68" s="69">
        <f>IF(OR(C67=$F$8,C67=$F$41,C67=0),0,IF(C67=$F$41,0,IF(AND(COUPNCD(C67,$F$8,$F$10,1)&gt;$F$41,$F$41&lt;&gt;""),$F$41,(IF(C67=0,0,IF(C67=$F$8,0,COUPNCD(C67,$F$8,$F$10,1)))))))</f>
        <v>0</v>
      </c>
      <c r="D68" s="2"/>
      <c r="E68" s="259"/>
      <c r="F68" s="29">
        <f t="shared" si="4"/>
        <v>0</v>
      </c>
      <c r="G68" s="29">
        <f t="shared" si="1"/>
        <v>0</v>
      </c>
      <c r="H68" s="52">
        <f t="shared" si="2"/>
        <v>0</v>
      </c>
      <c r="I68" s="299"/>
      <c r="J68" s="22"/>
      <c r="K68" s="91"/>
      <c r="L68" s="101">
        <f t="shared" si="0"/>
        <v>0</v>
      </c>
      <c r="M68" s="102">
        <f t="shared" si="3"/>
        <v>0</v>
      </c>
      <c r="N68" s="183"/>
      <c r="O68" s="71"/>
      <c r="P68" s="22"/>
    </row>
    <row r="69" spans="2:16" ht="9.75">
      <c r="B69" s="16"/>
      <c r="C69" s="69">
        <f>IF(OR(C68=$F$8,C68=$F$41,C68=0),0,IF(C68=$F$41,0,IF(AND(COUPNCD(C68,$F$8,$F$10,1)&gt;$F$41,$F$41&lt;&gt;""),$F$41,(IF(C68=0,0,IF(C68=$F$8,0,COUPNCD(C68,$F$8,$F$10,1)))))))</f>
        <v>0</v>
      </c>
      <c r="D69" s="2"/>
      <c r="E69" s="259"/>
      <c r="F69" s="29">
        <f t="shared" si="4"/>
        <v>0</v>
      </c>
      <c r="G69" s="29">
        <f t="shared" si="1"/>
        <v>0</v>
      </c>
      <c r="H69" s="52">
        <f t="shared" si="2"/>
        <v>0</v>
      </c>
      <c r="I69" s="299"/>
      <c r="J69" s="22"/>
      <c r="K69" s="91"/>
      <c r="L69" s="101">
        <f t="shared" si="0"/>
        <v>0</v>
      </c>
      <c r="M69" s="102">
        <f t="shared" si="3"/>
        <v>0</v>
      </c>
      <c r="N69" s="183"/>
      <c r="O69" s="71"/>
      <c r="P69" s="22"/>
    </row>
    <row r="70" spans="2:16" ht="9.75">
      <c r="B70" s="16"/>
      <c r="C70" s="69">
        <f>IF(OR(C69=$F$8,C69=$F$41,C69=0),0,IF(C69=$F$41,0,IF(AND(COUPNCD(C69,$F$8,$F$10,1)&gt;$F$41,$F$41&lt;&gt;""),$F$41,(IF(C69=0,0,IF(C69=$F$8,0,COUPNCD(C69,$F$8,$F$10,1)))))))</f>
        <v>0</v>
      </c>
      <c r="D70" s="2"/>
      <c r="E70" s="259"/>
      <c r="F70" s="29">
        <f t="shared" si="4"/>
        <v>0</v>
      </c>
      <c r="G70" s="29">
        <f t="shared" si="1"/>
        <v>0</v>
      </c>
      <c r="H70" s="52">
        <f t="shared" si="2"/>
        <v>0</v>
      </c>
      <c r="I70" s="299"/>
      <c r="J70" s="22"/>
      <c r="K70" s="91"/>
      <c r="L70" s="101">
        <f t="shared" si="0"/>
        <v>0</v>
      </c>
      <c r="M70" s="102">
        <f t="shared" si="3"/>
        <v>0</v>
      </c>
      <c r="N70" s="183"/>
      <c r="O70" s="71"/>
      <c r="P70" s="22"/>
    </row>
    <row r="71" spans="2:16" ht="9.75">
      <c r="B71" s="16"/>
      <c r="C71" s="69">
        <f>IF(OR(C70=$F$8,C70=$F$41,C70=0),0,IF(C70=$F$41,0,IF(AND(COUPNCD(C70,$F$8,$F$10,1)&gt;$F$41,$F$41&lt;&gt;""),$F$41,(IF(C70=0,0,IF(C70=$F$8,0,COUPNCD(C70,$F$8,$F$10,1)))))))</f>
        <v>0</v>
      </c>
      <c r="D71" s="2"/>
      <c r="E71" s="259"/>
      <c r="F71" s="29">
        <f t="shared" si="4"/>
        <v>0</v>
      </c>
      <c r="G71" s="29">
        <f t="shared" si="1"/>
        <v>0</v>
      </c>
      <c r="H71" s="52">
        <f t="shared" si="2"/>
        <v>0</v>
      </c>
      <c r="I71" s="299"/>
      <c r="J71" s="22"/>
      <c r="K71" s="91"/>
      <c r="L71" s="101">
        <f t="shared" si="0"/>
        <v>0</v>
      </c>
      <c r="M71" s="102">
        <f t="shared" si="3"/>
        <v>0</v>
      </c>
      <c r="N71" s="183"/>
      <c r="O71" s="71"/>
      <c r="P71" s="22"/>
    </row>
    <row r="72" spans="2:19" ht="9.75">
      <c r="B72" s="16"/>
      <c r="C72" s="69">
        <f>IF(OR(C71=$F$8,C71=$F$41,C71=0),0,IF(C71=$F$41,0,IF(AND(COUPNCD(C71,$F$8,$F$10,1)&gt;$F$41,$F$41&lt;&gt;""),$F$41,(IF(C71=0,0,IF(C71=$F$8,0,COUPNCD(C71,$F$8,$F$10,1)))))))</f>
        <v>0</v>
      </c>
      <c r="D72" s="2"/>
      <c r="E72" s="259"/>
      <c r="F72" s="29">
        <f t="shared" si="4"/>
        <v>0</v>
      </c>
      <c r="G72" s="29">
        <f t="shared" si="1"/>
        <v>0</v>
      </c>
      <c r="H72" s="52">
        <f t="shared" si="2"/>
        <v>0</v>
      </c>
      <c r="I72" s="299"/>
      <c r="J72" s="22"/>
      <c r="K72" s="91"/>
      <c r="L72" s="101">
        <f t="shared" si="0"/>
        <v>0</v>
      </c>
      <c r="M72" s="102">
        <f t="shared" si="3"/>
        <v>0</v>
      </c>
      <c r="N72" s="183"/>
      <c r="O72" s="71"/>
      <c r="P72" s="22"/>
      <c r="S72" s="122"/>
    </row>
    <row r="73" spans="2:16" ht="9.75">
      <c r="B73" s="16"/>
      <c r="C73" s="69">
        <f>IF(OR(C72=$F$8,C72=$F$41,C72=0),0,IF(C72=$F$41,0,IF(AND(COUPNCD(C72,$F$8,$F$10,1)&gt;$F$41,$F$41&lt;&gt;""),$F$41,(IF(C72=0,0,IF(C72=$F$8,0,COUPNCD(C72,$F$8,$F$10,1)))))))</f>
        <v>0</v>
      </c>
      <c r="D73" s="2"/>
      <c r="E73" s="259"/>
      <c r="F73" s="29">
        <f t="shared" si="4"/>
        <v>0</v>
      </c>
      <c r="G73" s="29">
        <f t="shared" si="1"/>
        <v>0</v>
      </c>
      <c r="H73" s="52">
        <f t="shared" si="2"/>
        <v>0</v>
      </c>
      <c r="I73" s="299"/>
      <c r="J73" s="22"/>
      <c r="K73" s="91"/>
      <c r="L73" s="101">
        <f t="shared" si="0"/>
        <v>0</v>
      </c>
      <c r="M73" s="102">
        <f t="shared" si="3"/>
        <v>0</v>
      </c>
      <c r="N73" s="183"/>
      <c r="O73" s="71"/>
      <c r="P73" s="22"/>
    </row>
    <row r="74" spans="2:16" ht="9.75">
      <c r="B74" s="16"/>
      <c r="C74" s="69">
        <f>IF(OR(C73=$F$8,C73=$F$41,C73=0),0,IF(C73=$F$41,0,IF(AND(COUPNCD(C73,$F$8,$F$10,1)&gt;$F$41,$F$41&lt;&gt;""),$F$41,(IF(C73=0,0,IF(C73=$F$8,0,COUPNCD(C73,$F$8,$F$10,1)))))))</f>
        <v>0</v>
      </c>
      <c r="D74" s="2"/>
      <c r="E74" s="259"/>
      <c r="F74" s="29">
        <f t="shared" si="4"/>
        <v>0</v>
      </c>
      <c r="G74" s="29">
        <f t="shared" si="1"/>
        <v>0</v>
      </c>
      <c r="H74" s="52">
        <f t="shared" si="2"/>
        <v>0</v>
      </c>
      <c r="I74" s="299"/>
      <c r="J74" s="22"/>
      <c r="K74" s="91"/>
      <c r="L74" s="101">
        <f t="shared" si="0"/>
        <v>0</v>
      </c>
      <c r="M74" s="102">
        <f t="shared" si="3"/>
        <v>0</v>
      </c>
      <c r="N74" s="183"/>
      <c r="O74" s="71"/>
      <c r="P74" s="22"/>
    </row>
    <row r="75" spans="2:16" ht="9.75">
      <c r="B75" s="16"/>
      <c r="C75" s="69">
        <f>IF(OR(C74=$F$8,C74=$F$41,C74=0),0,IF(C74=$F$41,0,IF(AND(COUPNCD(C74,$F$8,$F$10,1)&gt;$F$41,$F$41&lt;&gt;""),$F$41,(IF(C74=0,0,IF(C74=$F$8,0,COUPNCD(C74,$F$8,$F$10,1)))))))</f>
        <v>0</v>
      </c>
      <c r="D75" s="2"/>
      <c r="E75" s="259"/>
      <c r="F75" s="29">
        <f t="shared" si="4"/>
        <v>0</v>
      </c>
      <c r="G75" s="29">
        <f t="shared" si="1"/>
        <v>0</v>
      </c>
      <c r="H75" s="52">
        <f t="shared" si="2"/>
        <v>0</v>
      </c>
      <c r="I75" s="299"/>
      <c r="J75" s="22"/>
      <c r="K75" s="91"/>
      <c r="L75" s="101">
        <f t="shared" si="0"/>
        <v>0</v>
      </c>
      <c r="M75" s="102">
        <f t="shared" si="3"/>
        <v>0</v>
      </c>
      <c r="N75" s="183"/>
      <c r="O75" s="71"/>
      <c r="P75" s="22"/>
    </row>
    <row r="76" spans="2:16" ht="9.75">
      <c r="B76" s="16"/>
      <c r="C76" s="69">
        <f>IF(OR(C75=$F$8,C75=$F$41,C75=0),0,IF(C75=$F$41,0,IF(AND(COUPNCD(C75,$F$8,$F$10,1)&gt;$F$41,$F$41&lt;&gt;""),$F$41,(IF(C75=0,0,IF(C75=$F$8,0,COUPNCD(C75,$F$8,$F$10,1)))))))</f>
        <v>0</v>
      </c>
      <c r="D76" s="2"/>
      <c r="E76" s="259"/>
      <c r="F76" s="29">
        <f t="shared" si="4"/>
        <v>0</v>
      </c>
      <c r="G76" s="29">
        <f t="shared" si="1"/>
        <v>0</v>
      </c>
      <c r="H76" s="52">
        <f t="shared" si="2"/>
        <v>0</v>
      </c>
      <c r="I76" s="299"/>
      <c r="J76" s="22"/>
      <c r="K76" s="91"/>
      <c r="L76" s="101">
        <f t="shared" si="0"/>
        <v>0</v>
      </c>
      <c r="M76" s="102">
        <f t="shared" si="3"/>
        <v>0</v>
      </c>
      <c r="N76" s="183"/>
      <c r="O76" s="71"/>
      <c r="P76" s="22"/>
    </row>
    <row r="77" spans="2:16" ht="9.75">
      <c r="B77" s="16"/>
      <c r="C77" s="69">
        <f>IF(OR(C76=$F$8,C76=$F$41,C76=0),0,IF(C76=$F$41,0,IF(AND(COUPNCD(C76,$F$8,$F$10,1)&gt;$F$41,$F$41&lt;&gt;""),$F$41,(IF(C76=0,0,IF(C76=$F$8,0,COUPNCD(C76,$F$8,$F$10,1)))))))</f>
        <v>0</v>
      </c>
      <c r="D77" s="2"/>
      <c r="E77" s="259"/>
      <c r="F77" s="29">
        <f t="shared" si="4"/>
        <v>0</v>
      </c>
      <c r="G77" s="29">
        <f t="shared" si="1"/>
        <v>0</v>
      </c>
      <c r="H77" s="52">
        <f t="shared" si="2"/>
        <v>0</v>
      </c>
      <c r="I77" s="299"/>
      <c r="J77" s="22"/>
      <c r="K77" s="91"/>
      <c r="L77" s="101">
        <f t="shared" si="0"/>
        <v>0</v>
      </c>
      <c r="M77" s="102">
        <f t="shared" si="3"/>
        <v>0</v>
      </c>
      <c r="N77" s="183"/>
      <c r="O77" s="71"/>
      <c r="P77" s="22"/>
    </row>
    <row r="78" spans="2:16" ht="9.75">
      <c r="B78" s="16"/>
      <c r="C78" s="69">
        <f>IF(OR(C77=$F$8,C77=$F$41,C77=0),0,IF(C77=$F$41,0,IF(AND(COUPNCD(C77,$F$8,$F$10,1)&gt;$F$41,$F$41&lt;&gt;""),$F$41,(IF(C77=0,0,IF(C77=$F$8,0,COUPNCD(C77,$F$8,$F$10,1)))))))</f>
        <v>0</v>
      </c>
      <c r="D78" s="2"/>
      <c r="E78" s="259"/>
      <c r="F78" s="29">
        <f t="shared" si="4"/>
        <v>0</v>
      </c>
      <c r="G78" s="29">
        <f t="shared" si="1"/>
        <v>0</v>
      </c>
      <c r="H78" s="52">
        <f t="shared" si="2"/>
        <v>0</v>
      </c>
      <c r="I78" s="299"/>
      <c r="J78" s="22"/>
      <c r="K78" s="91"/>
      <c r="L78" s="101">
        <f t="shared" si="0"/>
        <v>0</v>
      </c>
      <c r="M78" s="102">
        <f t="shared" si="3"/>
        <v>0</v>
      </c>
      <c r="N78" s="183"/>
      <c r="O78" s="71"/>
      <c r="P78" s="22"/>
    </row>
    <row r="79" spans="2:16" ht="9.75">
      <c r="B79" s="16"/>
      <c r="C79" s="69">
        <f>IF(OR(C78=$F$8,C78=$F$41,C78=0),0,IF(C78=$F$41,0,IF(AND(COUPNCD(C78,$F$8,$F$10,1)&gt;$F$41,$F$41&lt;&gt;""),$F$41,(IF(C78=0,0,IF(C78=$F$8,0,COUPNCD(C78,$F$8,$F$10,1)))))))</f>
        <v>0</v>
      </c>
      <c r="D79" s="2"/>
      <c r="E79" s="259"/>
      <c r="F79" s="29">
        <f t="shared" si="4"/>
        <v>0</v>
      </c>
      <c r="G79" s="29">
        <f t="shared" si="1"/>
        <v>0</v>
      </c>
      <c r="H79" s="52">
        <f t="shared" si="2"/>
        <v>0</v>
      </c>
      <c r="I79" s="299"/>
      <c r="J79" s="22"/>
      <c r="K79" s="91"/>
      <c r="L79" s="101">
        <f t="shared" si="0"/>
        <v>0</v>
      </c>
      <c r="M79" s="102">
        <f t="shared" si="3"/>
        <v>0</v>
      </c>
      <c r="N79" s="183"/>
      <c r="O79" s="71"/>
      <c r="P79" s="22"/>
    </row>
    <row r="80" spans="2:16" ht="9.75">
      <c r="B80" s="16"/>
      <c r="C80" s="69">
        <f>IF(OR(C79=$F$8,C79=$F$41,C79=0),0,IF(C79=$F$41,0,IF(AND(COUPNCD(C79,$F$8,$F$10,1)&gt;$F$41,$F$41&lt;&gt;""),$F$41,(IF(C79=0,0,IF(C79=$F$8,0,COUPNCD(C79,$F$8,$F$10,1)))))))</f>
        <v>0</v>
      </c>
      <c r="D80" s="2"/>
      <c r="E80" s="259"/>
      <c r="F80" s="29">
        <f t="shared" si="4"/>
        <v>0</v>
      </c>
      <c r="G80" s="29">
        <f t="shared" si="1"/>
        <v>0</v>
      </c>
      <c r="H80" s="52">
        <f t="shared" si="2"/>
        <v>0</v>
      </c>
      <c r="I80" s="299"/>
      <c r="J80" s="22"/>
      <c r="K80" s="91"/>
      <c r="L80" s="101">
        <f t="shared" si="0"/>
        <v>0</v>
      </c>
      <c r="M80" s="102">
        <f t="shared" si="3"/>
        <v>0</v>
      </c>
      <c r="N80" s="183"/>
      <c r="O80" s="71"/>
      <c r="P80" s="22"/>
    </row>
    <row r="81" spans="2:16" ht="9.75">
      <c r="B81" s="16"/>
      <c r="C81" s="69">
        <f>IF(OR(C80=$F$8,C80=$F$41,C80=0),0,IF(C80=$F$41,0,IF(AND(COUPNCD(C80,$F$8,$F$10,1)&gt;$F$41,$F$41&lt;&gt;""),$F$41,(IF(C80=0,0,IF(C80=$F$8,0,COUPNCD(C80,$F$8,$F$10,1)))))))</f>
        <v>0</v>
      </c>
      <c r="D81" s="2"/>
      <c r="E81" s="259"/>
      <c r="F81" s="29">
        <f t="shared" si="4"/>
        <v>0</v>
      </c>
      <c r="G81" s="29">
        <f t="shared" si="1"/>
        <v>0</v>
      </c>
      <c r="H81" s="52">
        <f t="shared" si="2"/>
        <v>0</v>
      </c>
      <c r="I81" s="299"/>
      <c r="J81" s="22"/>
      <c r="K81" s="91"/>
      <c r="L81" s="101">
        <f t="shared" si="0"/>
        <v>0</v>
      </c>
      <c r="M81" s="102">
        <f t="shared" si="3"/>
        <v>0</v>
      </c>
      <c r="N81" s="183"/>
      <c r="O81" s="71"/>
      <c r="P81" s="22"/>
    </row>
    <row r="82" spans="2:16" ht="9.75">
      <c r="B82" s="16"/>
      <c r="C82" s="69">
        <f>IF(OR(C81=$F$8,C81=$F$41,C81=0),0,IF(C81=$F$41,0,IF(AND(COUPNCD(C81,$F$8,$F$10,1)&gt;$F$41,$F$41&lt;&gt;""),$F$41,(IF(C81=0,0,IF(C81=$F$8,0,COUPNCD(C81,$F$8,$F$10,1)))))))</f>
        <v>0</v>
      </c>
      <c r="D82" s="2"/>
      <c r="E82" s="259"/>
      <c r="F82" s="29">
        <f t="shared" si="4"/>
        <v>0</v>
      </c>
      <c r="G82" s="29">
        <f t="shared" si="1"/>
        <v>0</v>
      </c>
      <c r="H82" s="52">
        <f t="shared" si="2"/>
        <v>0</v>
      </c>
      <c r="I82" s="299"/>
      <c r="J82" s="22"/>
      <c r="K82" s="91"/>
      <c r="L82" s="101">
        <f t="shared" si="0"/>
        <v>0</v>
      </c>
      <c r="M82" s="102">
        <f t="shared" si="3"/>
        <v>0</v>
      </c>
      <c r="N82" s="183"/>
      <c r="O82" s="71"/>
      <c r="P82" s="22"/>
    </row>
    <row r="83" spans="2:16" ht="9.75">
      <c r="B83" s="16"/>
      <c r="C83" s="69">
        <f>IF(OR(C82=$F$8,C82=$F$41,C82=0),0,IF(C82=$F$41,0,IF(AND(COUPNCD(C82,$F$8,$F$10,1)&gt;$F$41,$F$41&lt;&gt;""),$F$41,(IF(C82=0,0,IF(C82=$F$8,0,COUPNCD(C82,$F$8,$F$10,1)))))))</f>
        <v>0</v>
      </c>
      <c r="D83" s="2"/>
      <c r="E83" s="259"/>
      <c r="F83" s="29">
        <f t="shared" si="4"/>
        <v>0</v>
      </c>
      <c r="G83" s="29">
        <f t="shared" si="1"/>
        <v>0</v>
      </c>
      <c r="H83" s="52">
        <f t="shared" si="2"/>
        <v>0</v>
      </c>
      <c r="I83" s="299"/>
      <c r="J83" s="22"/>
      <c r="K83" s="91"/>
      <c r="L83" s="101">
        <f t="shared" si="0"/>
        <v>0</v>
      </c>
      <c r="M83" s="102">
        <f t="shared" si="3"/>
        <v>0</v>
      </c>
      <c r="N83" s="183"/>
      <c r="O83" s="71"/>
      <c r="P83" s="22"/>
    </row>
    <row r="84" spans="2:16" ht="9.75">
      <c r="B84" s="16"/>
      <c r="C84" s="69">
        <f>IF(OR(C83=$F$8,C83=$F$41,C83=0),0,IF(C83=$F$41,0,IF(AND(COUPNCD(C83,$F$8,$F$10,1)&gt;$F$41,$F$41&lt;&gt;""),$F$41,(IF(C83=0,0,IF(C83=$F$8,0,COUPNCD(C83,$F$8,$F$10,1)))))))</f>
        <v>0</v>
      </c>
      <c r="D84" s="2"/>
      <c r="E84" s="259"/>
      <c r="F84" s="29">
        <f t="shared" si="4"/>
        <v>0</v>
      </c>
      <c r="G84" s="29">
        <f t="shared" si="1"/>
        <v>0</v>
      </c>
      <c r="H84" s="52">
        <f t="shared" si="2"/>
        <v>0</v>
      </c>
      <c r="I84" s="299"/>
      <c r="J84" s="22"/>
      <c r="K84" s="91"/>
      <c r="L84" s="101">
        <f t="shared" si="0"/>
        <v>0</v>
      </c>
      <c r="M84" s="102">
        <f t="shared" si="3"/>
        <v>0</v>
      </c>
      <c r="N84" s="183"/>
      <c r="O84" s="71"/>
      <c r="P84" s="22"/>
    </row>
    <row r="85" spans="2:16" ht="9.75">
      <c r="B85" s="16"/>
      <c r="C85" s="69">
        <f>IF(OR(C84=$F$8,C84=$F$41,C84=0),0,IF(C84=$F$41,0,IF(AND(COUPNCD(C84,$F$8,$F$10,1)&gt;$F$41,$F$41&lt;&gt;""),$F$41,(IF(C84=0,0,IF(C84=$F$8,0,COUPNCD(C84,$F$8,$F$10,1)))))))</f>
        <v>0</v>
      </c>
      <c r="D85" s="2"/>
      <c r="E85" s="259"/>
      <c r="F85" s="29">
        <f t="shared" si="4"/>
        <v>0</v>
      </c>
      <c r="G85" s="29">
        <f t="shared" si="1"/>
        <v>0</v>
      </c>
      <c r="H85" s="52">
        <f t="shared" si="2"/>
        <v>0</v>
      </c>
      <c r="I85" s="299"/>
      <c r="J85" s="22"/>
      <c r="K85" s="91"/>
      <c r="L85" s="101">
        <f t="shared" si="0"/>
        <v>0</v>
      </c>
      <c r="M85" s="102">
        <f t="shared" si="3"/>
        <v>0</v>
      </c>
      <c r="N85" s="183"/>
      <c r="O85" s="71"/>
      <c r="P85" s="22"/>
    </row>
    <row r="86" spans="2:16" ht="9.75">
      <c r="B86" s="16"/>
      <c r="C86" s="69">
        <f>IF(OR(C85=$F$8,C85=$F$41,C85=0),0,IF(C85=$F$41,0,IF(AND(COUPNCD(C85,$F$8,$F$10,1)&gt;$F$41,$F$41&lt;&gt;""),$F$41,(IF(C85=0,0,IF(C85=$F$8,0,COUPNCD(C85,$F$8,$F$10,1)))))))</f>
        <v>0</v>
      </c>
      <c r="D86" s="2"/>
      <c r="E86" s="259"/>
      <c r="F86" s="29">
        <f t="shared" si="4"/>
        <v>0</v>
      </c>
      <c r="G86" s="29">
        <f t="shared" si="1"/>
        <v>0</v>
      </c>
      <c r="H86" s="52">
        <f t="shared" si="2"/>
        <v>0</v>
      </c>
      <c r="I86" s="299"/>
      <c r="J86" s="22"/>
      <c r="K86" s="91"/>
      <c r="L86" s="101">
        <f t="shared" si="0"/>
        <v>0</v>
      </c>
      <c r="M86" s="102">
        <f t="shared" si="3"/>
        <v>0</v>
      </c>
      <c r="N86" s="183"/>
      <c r="O86" s="71"/>
      <c r="P86" s="22"/>
    </row>
    <row r="87" spans="2:16" ht="9.75">
      <c r="B87" s="16"/>
      <c r="C87" s="69">
        <f>IF(OR(C86=$F$8,C86=$F$41,C86=0),0,IF(C86=$F$41,0,IF(AND(COUPNCD(C86,$F$8,$F$10,1)&gt;$F$41,$F$41&lt;&gt;""),$F$41,(IF(C86=0,0,IF(C86=$F$8,0,COUPNCD(C86,$F$8,$F$10,1)))))))</f>
        <v>0</v>
      </c>
      <c r="D87" s="2"/>
      <c r="E87" s="259"/>
      <c r="F87" s="29">
        <f t="shared" si="4"/>
        <v>0</v>
      </c>
      <c r="G87" s="29">
        <f t="shared" si="1"/>
        <v>0</v>
      </c>
      <c r="H87" s="52">
        <f t="shared" si="2"/>
        <v>0</v>
      </c>
      <c r="I87" s="299"/>
      <c r="J87" s="22"/>
      <c r="K87" s="91"/>
      <c r="L87" s="101">
        <f t="shared" si="0"/>
        <v>0</v>
      </c>
      <c r="M87" s="102">
        <f t="shared" si="3"/>
        <v>0</v>
      </c>
      <c r="N87" s="183"/>
      <c r="O87" s="71"/>
      <c r="P87" s="22"/>
    </row>
    <row r="88" spans="2:16" ht="9.75">
      <c r="B88" s="16"/>
      <c r="C88" s="69">
        <f>IF(OR(C87=$F$8,C87=$F$41,C87=0),0,IF(C87=$F$41,0,IF(AND(COUPNCD(C87,$F$8,$F$10,1)&gt;$F$41,$F$41&lt;&gt;""),$F$41,(IF(C87=0,0,IF(C87=$F$8,0,COUPNCD(C87,$F$8,$F$10,1)))))))</f>
        <v>0</v>
      </c>
      <c r="D88" s="2"/>
      <c r="E88" s="259"/>
      <c r="F88" s="29">
        <f t="shared" si="4"/>
        <v>0</v>
      </c>
      <c r="G88" s="29">
        <f t="shared" si="1"/>
        <v>0</v>
      </c>
      <c r="H88" s="52">
        <f t="shared" si="2"/>
        <v>0</v>
      </c>
      <c r="I88" s="299"/>
      <c r="J88" s="22"/>
      <c r="K88" s="91"/>
      <c r="L88" s="101">
        <f t="shared" si="0"/>
        <v>0</v>
      </c>
      <c r="M88" s="102">
        <f t="shared" si="3"/>
        <v>0</v>
      </c>
      <c r="N88" s="183"/>
      <c r="O88" s="71"/>
      <c r="P88" s="22"/>
    </row>
    <row r="89" spans="2:16" ht="9.75">
      <c r="B89" s="16"/>
      <c r="C89" s="69">
        <f>IF(OR(C88=$F$8,C88=$F$41,C88=0),0,IF(C88=$F$41,0,IF(AND(COUPNCD(C88,$F$8,$F$10,1)&gt;$F$41,$F$41&lt;&gt;""),$F$41,(IF(C88=0,0,IF(C88=$F$8,0,COUPNCD(C88,$F$8,$F$10,1)))))))</f>
        <v>0</v>
      </c>
      <c r="D89" s="2"/>
      <c r="E89" s="259"/>
      <c r="F89" s="29">
        <f t="shared" si="4"/>
        <v>0</v>
      </c>
      <c r="G89" s="29">
        <f t="shared" si="1"/>
        <v>0</v>
      </c>
      <c r="H89" s="52">
        <f t="shared" si="2"/>
        <v>0</v>
      </c>
      <c r="I89" s="299"/>
      <c r="J89" s="22"/>
      <c r="K89" s="91"/>
      <c r="L89" s="101">
        <f t="shared" si="0"/>
        <v>0</v>
      </c>
      <c r="M89" s="102">
        <f t="shared" si="3"/>
        <v>0</v>
      </c>
      <c r="N89" s="183"/>
      <c r="O89" s="71"/>
      <c r="P89" s="22"/>
    </row>
    <row r="90" spans="2:16" ht="9.75">
      <c r="B90" s="16"/>
      <c r="C90" s="69">
        <f>IF(OR(C89=$F$8,C89=$F$41,C89=0),0,IF(C89=$F$41,0,IF(AND(COUPNCD(C89,$F$8,$F$10,1)&gt;$F$41,$F$41&lt;&gt;""),$F$41,(IF(C89=0,0,IF(C89=$F$8,0,COUPNCD(C89,$F$8,$F$10,1)))))))</f>
        <v>0</v>
      </c>
      <c r="D90" s="2"/>
      <c r="E90" s="259"/>
      <c r="F90" s="29">
        <f t="shared" si="4"/>
        <v>0</v>
      </c>
      <c r="G90" s="29">
        <f t="shared" si="1"/>
        <v>0</v>
      </c>
      <c r="H90" s="52">
        <f t="shared" si="2"/>
        <v>0</v>
      </c>
      <c r="I90" s="299"/>
      <c r="J90" s="22"/>
      <c r="K90" s="91"/>
      <c r="L90" s="101">
        <f t="shared" si="0"/>
        <v>0</v>
      </c>
      <c r="M90" s="102">
        <f t="shared" si="3"/>
        <v>0</v>
      </c>
      <c r="N90" s="183"/>
      <c r="O90" s="71"/>
      <c r="P90" s="22"/>
    </row>
    <row r="91" spans="2:16" ht="9.75">
      <c r="B91" s="16"/>
      <c r="C91" s="69">
        <f>IF(OR(C90=$F$8,C90=$F$41,C90=0),0,IF(C90=$F$41,0,IF(AND(COUPNCD(C90,$F$8,$F$10,1)&gt;$F$41,$F$41&lt;&gt;""),$F$41,(IF(C90=0,0,IF(C90=$F$8,0,COUPNCD(C90,$F$8,$F$10,1)))))))</f>
        <v>0</v>
      </c>
      <c r="D91" s="2"/>
      <c r="E91" s="259"/>
      <c r="F91" s="29">
        <f t="shared" si="4"/>
        <v>0</v>
      </c>
      <c r="G91" s="29">
        <f t="shared" si="1"/>
        <v>0</v>
      </c>
      <c r="H91" s="52">
        <f t="shared" si="2"/>
        <v>0</v>
      </c>
      <c r="I91" s="299"/>
      <c r="J91" s="22"/>
      <c r="K91" s="91"/>
      <c r="L91" s="101">
        <f t="shared" si="0"/>
        <v>0</v>
      </c>
      <c r="M91" s="102">
        <f t="shared" si="3"/>
        <v>0</v>
      </c>
      <c r="N91" s="183"/>
      <c r="O91" s="71"/>
      <c r="P91" s="22"/>
    </row>
    <row r="92" spans="2:16" ht="9.75">
      <c r="B92" s="16"/>
      <c r="C92" s="69">
        <f>IF(OR(C91=$F$8,C91=$F$41,C91=0),0,IF(C91=$F$41,0,IF(AND(COUPNCD(C91,$F$8,$F$10,1)&gt;$F$41,$F$41&lt;&gt;""),$F$41,(IF(C91=0,0,IF(C91=$F$8,0,COUPNCD(C91,$F$8,$F$10,1)))))))</f>
        <v>0</v>
      </c>
      <c r="D92" s="2"/>
      <c r="E92" s="259"/>
      <c r="F92" s="29">
        <f t="shared" si="4"/>
        <v>0</v>
      </c>
      <c r="G92" s="29">
        <f t="shared" si="1"/>
        <v>0</v>
      </c>
      <c r="H92" s="52">
        <f t="shared" si="2"/>
        <v>0</v>
      </c>
      <c r="I92" s="299"/>
      <c r="J92" s="22"/>
      <c r="K92" s="91"/>
      <c r="L92" s="101">
        <f t="shared" si="0"/>
        <v>0</v>
      </c>
      <c r="M92" s="102">
        <f t="shared" si="3"/>
        <v>0</v>
      </c>
      <c r="N92" s="183"/>
      <c r="O92" s="71"/>
      <c r="P92" s="22"/>
    </row>
    <row r="93" spans="2:16" ht="9.75">
      <c r="B93" s="16"/>
      <c r="C93" s="69">
        <f>IF(OR(C92=$F$8,C92=$F$41,C92=0),0,IF(C92=$F$41,0,IF(AND(COUPNCD(C92,$F$8,$F$10,1)&gt;$F$41,$F$41&lt;&gt;""),$F$41,(IF(C92=0,0,IF(C92=$F$8,0,COUPNCD(C92,$F$8,$F$10,1)))))))</f>
        <v>0</v>
      </c>
      <c r="D93" s="2"/>
      <c r="E93" s="259"/>
      <c r="F93" s="29">
        <f t="shared" si="4"/>
        <v>0</v>
      </c>
      <c r="G93" s="29">
        <f t="shared" si="1"/>
        <v>0</v>
      </c>
      <c r="H93" s="52">
        <f t="shared" si="2"/>
        <v>0</v>
      </c>
      <c r="I93" s="299"/>
      <c r="J93" s="22"/>
      <c r="K93" s="91"/>
      <c r="L93" s="101">
        <f t="shared" si="0"/>
        <v>0</v>
      </c>
      <c r="M93" s="102">
        <f t="shared" si="3"/>
        <v>0</v>
      </c>
      <c r="N93" s="183"/>
      <c r="O93" s="71"/>
      <c r="P93" s="22"/>
    </row>
    <row r="94" spans="2:16" ht="9.75">
      <c r="B94" s="16"/>
      <c r="C94" s="69">
        <f>IF(OR(C93=$F$8,C93=$F$41,C93=0),0,IF(C93=$F$41,0,IF(AND(COUPNCD(C93,$F$8,$F$10,1)&gt;$F$41,$F$41&lt;&gt;""),$F$41,(IF(C93=0,0,IF(C93=$F$8,0,COUPNCD(C93,$F$8,$F$10,1)))))))</f>
        <v>0</v>
      </c>
      <c r="D94" s="2"/>
      <c r="E94" s="259"/>
      <c r="F94" s="29">
        <f t="shared" si="4"/>
        <v>0</v>
      </c>
      <c r="G94" s="29">
        <f t="shared" si="1"/>
        <v>0</v>
      </c>
      <c r="H94" s="52">
        <f t="shared" si="2"/>
        <v>0</v>
      </c>
      <c r="I94" s="299"/>
      <c r="J94" s="22"/>
      <c r="K94" s="91"/>
      <c r="L94" s="101">
        <f t="shared" si="0"/>
        <v>0</v>
      </c>
      <c r="M94" s="102">
        <f t="shared" si="3"/>
        <v>0</v>
      </c>
      <c r="N94" s="183"/>
      <c r="O94" s="71"/>
      <c r="P94" s="22"/>
    </row>
    <row r="95" spans="2:16" ht="9.75">
      <c r="B95" s="16"/>
      <c r="C95" s="69">
        <f>IF(OR(C94=$F$8,C94=$F$41,C94=0),0,IF(C94=$F$41,0,IF(AND(COUPNCD(C94,$F$8,$F$10,1)&gt;$F$41,$F$41&lt;&gt;""),$F$41,(IF(C94=0,0,IF(C94=$F$8,0,COUPNCD(C94,$F$8,$F$10,1)))))))</f>
        <v>0</v>
      </c>
      <c r="D95" s="2"/>
      <c r="E95" s="259"/>
      <c r="F95" s="29">
        <f t="shared" si="4"/>
        <v>0</v>
      </c>
      <c r="G95" s="29">
        <f t="shared" si="1"/>
        <v>0</v>
      </c>
      <c r="H95" s="52">
        <f t="shared" si="2"/>
        <v>0</v>
      </c>
      <c r="I95" s="299"/>
      <c r="J95" s="22"/>
      <c r="K95" s="103"/>
      <c r="L95" s="101">
        <f aca="true" t="shared" si="5" ref="L95:L123">C95</f>
        <v>0</v>
      </c>
      <c r="M95" s="102">
        <f t="shared" si="3"/>
        <v>0</v>
      </c>
      <c r="N95" s="183"/>
      <c r="O95" s="71"/>
      <c r="P95" s="22"/>
    </row>
    <row r="96" spans="2:16" ht="9.75">
      <c r="B96" s="16"/>
      <c r="C96" s="69">
        <f>IF(OR(C95=$F$8,C95=$F$41,C95=0),0,IF(C95=$F$41,0,IF(AND(COUPNCD(C95,$F$8,$F$10,1)&gt;$F$41,$F$41&lt;&gt;""),$F$41,(IF(C95=0,0,IF(C95=$F$8,0,COUPNCD(C95,$F$8,$F$10,1)))))))</f>
        <v>0</v>
      </c>
      <c r="D96" s="2"/>
      <c r="E96" s="259"/>
      <c r="F96" s="29">
        <f t="shared" si="4"/>
        <v>0</v>
      </c>
      <c r="G96" s="29">
        <f aca="true" t="shared" si="6" ref="G96:G123">IF(OR(C96=0,C96=$F$41),0,IF(C96&gt;MAX($H$7:$H$35),IF(E96=0,0,IF(F96&gt;$F$18/$F$10,$F$18*(1-$C$12)/$F$10,IF(F96&lt;$F$16/$F$10,$F$16*(1-$C$12)/$F$10,F96*(1-$C$12)))),IF(VLOOKUP(C96,$H$8:$I$35,2,FALSE)&lt;&gt;0,VLOOKUP(C96,$H$8:$I$35,2,FALSE)*(1-$C$12),IF(E96=0,0,IF(F96&gt;$F$18/$F$10,$F$18*(1-$C$12)/$F$10,IF(F96&lt;$F$16/$F$10,$F$16*(1-$C$12)/$F$10,F96*(1-$C$12)))))))</f>
        <v>0</v>
      </c>
      <c r="H96" s="52">
        <f aca="true" t="shared" si="7" ref="H96:H123">IF(AND(C96=0,G96=0),0,IF(AND(C96=$F$8,$F$41=""),G96*100+$F$31,IF(AND(C96&lt;$F$8,$F$41=""),G96*100,IF(C96=$F$41,$F$54+G96*100,G96*100))))</f>
        <v>0</v>
      </c>
      <c r="I96" s="299"/>
      <c r="J96" s="22"/>
      <c r="K96" s="91"/>
      <c r="L96" s="101">
        <f t="shared" si="5"/>
        <v>0</v>
      </c>
      <c r="M96" s="102">
        <f aca="true" t="shared" si="8" ref="M96:M123">IF(L96=0,0,IF(OR(L96=$F$41,L96=$F$8),$M$55,H96*$M$16/100-$M$41))</f>
        <v>0</v>
      </c>
      <c r="N96" s="183"/>
      <c r="O96" s="71"/>
      <c r="P96" s="22"/>
    </row>
    <row r="97" spans="2:16" ht="9.75">
      <c r="B97" s="16"/>
      <c r="C97" s="69">
        <f>IF(OR(C96=$F$8,C96=$F$41,C96=0),0,IF(C96=$F$41,0,IF(AND(COUPNCD(C96,$F$8,$F$10,1)&gt;$F$41,$F$41&lt;&gt;""),$F$41,(IF(C96=0,0,IF(C96=$F$8,0,COUPNCD(C96,$F$8,$F$10,1)))))))</f>
        <v>0</v>
      </c>
      <c r="D97" s="2"/>
      <c r="E97" s="259"/>
      <c r="F97" s="29">
        <f t="shared" si="4"/>
        <v>0</v>
      </c>
      <c r="G97" s="29">
        <f t="shared" si="6"/>
        <v>0</v>
      </c>
      <c r="H97" s="52">
        <f t="shared" si="7"/>
        <v>0</v>
      </c>
      <c r="I97" s="299"/>
      <c r="J97" s="22"/>
      <c r="K97" s="91"/>
      <c r="L97" s="101">
        <f t="shared" si="5"/>
        <v>0</v>
      </c>
      <c r="M97" s="102">
        <f t="shared" si="8"/>
        <v>0</v>
      </c>
      <c r="N97" s="183"/>
      <c r="O97" s="71"/>
      <c r="P97" s="22"/>
    </row>
    <row r="98" spans="2:16" ht="9.75">
      <c r="B98" s="16"/>
      <c r="C98" s="69">
        <f>IF(OR(C97=$F$8,C97=$F$41,C97=0),0,IF(C97=$F$41,0,IF(AND(COUPNCD(C97,$F$8,$F$10,1)&gt;$F$41,$F$41&lt;&gt;""),$F$41,(IF(C97=0,0,IF(C97=$F$8,0,COUPNCD(C97,$F$8,$F$10,1)))))))</f>
        <v>0</v>
      </c>
      <c r="D98" s="2"/>
      <c r="E98" s="259"/>
      <c r="F98" s="29">
        <f t="shared" si="4"/>
        <v>0</v>
      </c>
      <c r="G98" s="29">
        <f t="shared" si="6"/>
        <v>0</v>
      </c>
      <c r="H98" s="52">
        <f t="shared" si="7"/>
        <v>0</v>
      </c>
      <c r="I98" s="299"/>
      <c r="J98" s="22"/>
      <c r="K98" s="91"/>
      <c r="L98" s="101">
        <f t="shared" si="5"/>
        <v>0</v>
      </c>
      <c r="M98" s="102">
        <f t="shared" si="8"/>
        <v>0</v>
      </c>
      <c r="N98" s="183"/>
      <c r="O98" s="71"/>
      <c r="P98" s="22"/>
    </row>
    <row r="99" spans="2:16" ht="9.75">
      <c r="B99" s="16"/>
      <c r="C99" s="69">
        <f>IF(OR(C98=$F$8,C98=$F$41,C98=0),0,IF(C98=$F$41,0,IF(AND(COUPNCD(C98,$F$8,$F$10,1)&gt;$F$41,$F$41&lt;&gt;""),$F$41,(IF(C98=0,0,IF(C98=$F$8,0,COUPNCD(C98,$F$8,$F$10,1)))))))</f>
        <v>0</v>
      </c>
      <c r="D99" s="2"/>
      <c r="E99" s="259"/>
      <c r="F99" s="29">
        <f t="shared" si="4"/>
        <v>0</v>
      </c>
      <c r="G99" s="29">
        <f t="shared" si="6"/>
        <v>0</v>
      </c>
      <c r="H99" s="52">
        <f t="shared" si="7"/>
        <v>0</v>
      </c>
      <c r="I99" s="299"/>
      <c r="J99" s="22"/>
      <c r="K99" s="91"/>
      <c r="L99" s="101">
        <f t="shared" si="5"/>
        <v>0</v>
      </c>
      <c r="M99" s="102">
        <f t="shared" si="8"/>
        <v>0</v>
      </c>
      <c r="N99" s="183"/>
      <c r="O99" s="71"/>
      <c r="P99" s="22"/>
    </row>
    <row r="100" spans="2:16" ht="9.75">
      <c r="B100" s="16"/>
      <c r="C100" s="69">
        <f>IF(OR(C99=$F$8,C99=$F$41,C99=0),0,IF(C99=$F$41,0,IF(AND(COUPNCD(C99,$F$8,$F$10,1)&gt;$F$41,$F$41&lt;&gt;""),$F$41,(IF(C99=0,0,IF(C99=$F$8,0,COUPNCD(C99,$F$8,$F$10,1)))))))</f>
        <v>0</v>
      </c>
      <c r="D100" s="2"/>
      <c r="E100" s="259"/>
      <c r="F100" s="29">
        <f t="shared" si="4"/>
        <v>0</v>
      </c>
      <c r="G100" s="29">
        <f t="shared" si="6"/>
        <v>0</v>
      </c>
      <c r="H100" s="52">
        <f t="shared" si="7"/>
        <v>0</v>
      </c>
      <c r="I100" s="299"/>
      <c r="J100" s="22"/>
      <c r="K100" s="91"/>
      <c r="L100" s="101">
        <f t="shared" si="5"/>
        <v>0</v>
      </c>
      <c r="M100" s="102">
        <f t="shared" si="8"/>
        <v>0</v>
      </c>
      <c r="N100" s="183"/>
      <c r="O100" s="71"/>
      <c r="P100" s="22"/>
    </row>
    <row r="101" spans="2:16" ht="9.75">
      <c r="B101" s="16"/>
      <c r="C101" s="69">
        <f>IF(OR(C100=$F$8,C100=$F$41,C100=0),0,IF(C100=$F$41,0,IF(AND(COUPNCD(C100,$F$8,$F$10,1)&gt;$F$41,$F$41&lt;&gt;""),$F$41,(IF(C100=0,0,IF(C100=$F$8,0,COUPNCD(C100,$F$8,$F$10,1)))))))</f>
        <v>0</v>
      </c>
      <c r="D101" s="2"/>
      <c r="E101" s="259"/>
      <c r="F101" s="29">
        <f t="shared" si="4"/>
        <v>0</v>
      </c>
      <c r="G101" s="29">
        <f t="shared" si="6"/>
        <v>0</v>
      </c>
      <c r="H101" s="52">
        <f t="shared" si="7"/>
        <v>0</v>
      </c>
      <c r="I101" s="299"/>
      <c r="J101" s="22"/>
      <c r="K101" s="91"/>
      <c r="L101" s="101">
        <f t="shared" si="5"/>
        <v>0</v>
      </c>
      <c r="M101" s="102">
        <f t="shared" si="8"/>
        <v>0</v>
      </c>
      <c r="N101" s="183"/>
      <c r="O101" s="71"/>
      <c r="P101" s="22"/>
    </row>
    <row r="102" spans="2:16" ht="9.75">
      <c r="B102" s="16"/>
      <c r="C102" s="69">
        <f>IF(OR(C101=$F$8,C101=$F$41,C101=0),0,IF(C101=$F$41,0,IF(AND(COUPNCD(C101,$F$8,$F$10,1)&gt;$F$41,$F$41&lt;&gt;""),$F$41,(IF(C101=0,0,IF(C101=$F$8,0,COUPNCD(C101,$F$8,$F$10,1)))))))</f>
        <v>0</v>
      </c>
      <c r="D102" s="2"/>
      <c r="E102" s="259"/>
      <c r="F102" s="29">
        <f t="shared" si="4"/>
        <v>0</v>
      </c>
      <c r="G102" s="29">
        <f t="shared" si="6"/>
        <v>0</v>
      </c>
      <c r="H102" s="52">
        <f t="shared" si="7"/>
        <v>0</v>
      </c>
      <c r="I102" s="299"/>
      <c r="J102" s="22"/>
      <c r="K102" s="91"/>
      <c r="L102" s="101">
        <f t="shared" si="5"/>
        <v>0</v>
      </c>
      <c r="M102" s="102">
        <f t="shared" si="8"/>
        <v>0</v>
      </c>
      <c r="N102" s="183"/>
      <c r="O102" s="71"/>
      <c r="P102" s="22"/>
    </row>
    <row r="103" spans="2:16" ht="9.75">
      <c r="B103" s="16"/>
      <c r="C103" s="69">
        <f>IF(OR(C102=$F$8,C102=$F$41,C102=0),0,IF(C102=$F$41,0,IF(AND(COUPNCD(C102,$F$8,$F$10,1)&gt;$F$41,$F$41&lt;&gt;""),$F$41,(IF(C102=0,0,IF(C102=$F$8,0,COUPNCD(C102,$F$8,$F$10,1)))))))</f>
        <v>0</v>
      </c>
      <c r="D103" s="2"/>
      <c r="E103" s="259"/>
      <c r="F103" s="29">
        <f t="shared" si="4"/>
        <v>0</v>
      </c>
      <c r="G103" s="29">
        <f t="shared" si="6"/>
        <v>0</v>
      </c>
      <c r="H103" s="52">
        <f t="shared" si="7"/>
        <v>0</v>
      </c>
      <c r="I103" s="299"/>
      <c r="J103" s="22"/>
      <c r="K103" s="91"/>
      <c r="L103" s="101">
        <f t="shared" si="5"/>
        <v>0</v>
      </c>
      <c r="M103" s="102">
        <f t="shared" si="8"/>
        <v>0</v>
      </c>
      <c r="N103" s="183"/>
      <c r="O103" s="71"/>
      <c r="P103" s="22"/>
    </row>
    <row r="104" spans="2:16" ht="9.75">
      <c r="B104" s="16"/>
      <c r="C104" s="69">
        <f>IF(OR(C103=$F$8,C103=$F$41,C103=0),0,IF(C103=$F$41,0,IF(AND(COUPNCD(C103,$F$8,$F$10,1)&gt;$F$41,$F$41&lt;&gt;""),$F$41,(IF(C103=0,0,IF(C103=$F$8,0,COUPNCD(C103,$F$8,$F$10,1)))))))</f>
        <v>0</v>
      </c>
      <c r="D104" s="2"/>
      <c r="E104" s="259"/>
      <c r="F104" s="29">
        <f t="shared" si="4"/>
        <v>0</v>
      </c>
      <c r="G104" s="29">
        <f t="shared" si="6"/>
        <v>0</v>
      </c>
      <c r="H104" s="52">
        <f t="shared" si="7"/>
        <v>0</v>
      </c>
      <c r="I104" s="299"/>
      <c r="J104" s="22"/>
      <c r="K104" s="91"/>
      <c r="L104" s="101">
        <f t="shared" si="5"/>
        <v>0</v>
      </c>
      <c r="M104" s="102">
        <f t="shared" si="8"/>
        <v>0</v>
      </c>
      <c r="N104" s="183"/>
      <c r="O104" s="71"/>
      <c r="P104" s="22"/>
    </row>
    <row r="105" spans="2:16" ht="9.75">
      <c r="B105" s="16"/>
      <c r="C105" s="69">
        <f>IF(OR(C104=$F$8,C104=$F$41,C104=0),0,IF(C104=$F$41,0,IF(AND(COUPNCD(C104,$F$8,$F$10,1)&gt;$F$41,$F$41&lt;&gt;""),$F$41,(IF(C104=0,0,IF(C104=$F$8,0,COUPNCD(C104,$F$8,$F$10,1)))))))</f>
        <v>0</v>
      </c>
      <c r="D105" s="2"/>
      <c r="E105" s="259"/>
      <c r="F105" s="29">
        <f t="shared" si="4"/>
        <v>0</v>
      </c>
      <c r="G105" s="29">
        <f t="shared" si="6"/>
        <v>0</v>
      </c>
      <c r="H105" s="52">
        <f t="shared" si="7"/>
        <v>0</v>
      </c>
      <c r="I105" s="299"/>
      <c r="J105" s="22"/>
      <c r="K105" s="91"/>
      <c r="L105" s="101">
        <f t="shared" si="5"/>
        <v>0</v>
      </c>
      <c r="M105" s="102">
        <f t="shared" si="8"/>
        <v>0</v>
      </c>
      <c r="N105" s="183"/>
      <c r="O105" s="71"/>
      <c r="P105" s="22"/>
    </row>
    <row r="106" spans="2:16" ht="9.75">
      <c r="B106" s="16"/>
      <c r="C106" s="69">
        <f>IF(OR(C105=$F$8,C105=$F$41,C105=0),0,IF(C105=$F$41,0,IF(AND(COUPNCD(C105,$F$8,$F$10,1)&gt;$F$41,$F$41&lt;&gt;""),$F$41,(IF(C105=0,0,IF(C105=$F$8,0,COUPNCD(C105,$F$8,$F$10,1)))))))</f>
        <v>0</v>
      </c>
      <c r="D106" s="2"/>
      <c r="E106" s="259"/>
      <c r="F106" s="29">
        <f t="shared" si="4"/>
        <v>0</v>
      </c>
      <c r="G106" s="29">
        <f t="shared" si="6"/>
        <v>0</v>
      </c>
      <c r="H106" s="52">
        <f t="shared" si="7"/>
        <v>0</v>
      </c>
      <c r="I106" s="299"/>
      <c r="J106" s="22"/>
      <c r="K106" s="91"/>
      <c r="L106" s="101">
        <f t="shared" si="5"/>
        <v>0</v>
      </c>
      <c r="M106" s="102">
        <f t="shared" si="8"/>
        <v>0</v>
      </c>
      <c r="N106" s="183"/>
      <c r="O106" s="71"/>
      <c r="P106" s="22"/>
    </row>
    <row r="107" spans="2:16" ht="9.75">
      <c r="B107" s="16"/>
      <c r="C107" s="69">
        <f>IF(OR(C106=$F$8,C106=$F$41,C106=0),0,IF(C106=$F$41,0,IF(AND(COUPNCD(C106,$F$8,$F$10,1)&gt;$F$41,$F$41&lt;&gt;""),$F$41,(IF(C106=0,0,IF(C106=$F$8,0,COUPNCD(C106,$F$8,$F$10,1)))))))</f>
        <v>0</v>
      </c>
      <c r="D107" s="2"/>
      <c r="E107" s="259"/>
      <c r="F107" s="29">
        <f t="shared" si="4"/>
        <v>0</v>
      </c>
      <c r="G107" s="29">
        <f t="shared" si="6"/>
        <v>0</v>
      </c>
      <c r="H107" s="52">
        <f t="shared" si="7"/>
        <v>0</v>
      </c>
      <c r="I107" s="299"/>
      <c r="J107" s="22"/>
      <c r="K107" s="91"/>
      <c r="L107" s="101">
        <f t="shared" si="5"/>
        <v>0</v>
      </c>
      <c r="M107" s="102">
        <f t="shared" si="8"/>
        <v>0</v>
      </c>
      <c r="N107" s="183"/>
      <c r="O107" s="71"/>
      <c r="P107" s="22"/>
    </row>
    <row r="108" spans="2:16" ht="9.75">
      <c r="B108" s="16"/>
      <c r="C108" s="69">
        <f>IF(OR(C107=$F$8,C107=$F$41,C107=0),0,IF(C107=$F$41,0,IF(AND(COUPNCD(C107,$F$8,$F$10,1)&gt;$F$41,$F$41&lt;&gt;""),$F$41,(IF(C107=0,0,IF(C107=$F$8,0,COUPNCD(C107,$F$8,$F$10,1)))))))</f>
        <v>0</v>
      </c>
      <c r="D108" s="2"/>
      <c r="E108" s="259"/>
      <c r="F108" s="29">
        <f t="shared" si="4"/>
        <v>0</v>
      </c>
      <c r="G108" s="29">
        <f t="shared" si="6"/>
        <v>0</v>
      </c>
      <c r="H108" s="52">
        <f t="shared" si="7"/>
        <v>0</v>
      </c>
      <c r="I108" s="299"/>
      <c r="J108" s="22"/>
      <c r="K108" s="91"/>
      <c r="L108" s="101">
        <f t="shared" si="5"/>
        <v>0</v>
      </c>
      <c r="M108" s="102">
        <f t="shared" si="8"/>
        <v>0</v>
      </c>
      <c r="N108" s="183"/>
      <c r="O108" s="71"/>
      <c r="P108" s="22"/>
    </row>
    <row r="109" spans="2:16" ht="9.75">
      <c r="B109" s="16"/>
      <c r="C109" s="69">
        <f>IF(OR(C108=$F$8,C108=$F$41,C108=0),0,IF(C108=$F$41,0,IF(AND(COUPNCD(C108,$F$8,$F$10,1)&gt;$F$41,$F$41&lt;&gt;""),$F$41,(IF(C108=0,0,IF(C108=$F$8,0,COUPNCD(C108,$F$8,$F$10,1)))))))</f>
        <v>0</v>
      </c>
      <c r="D109" s="2"/>
      <c r="E109" s="259"/>
      <c r="F109" s="29">
        <f t="shared" si="4"/>
        <v>0</v>
      </c>
      <c r="G109" s="29">
        <f t="shared" si="6"/>
        <v>0</v>
      </c>
      <c r="H109" s="52">
        <f t="shared" si="7"/>
        <v>0</v>
      </c>
      <c r="I109" s="299"/>
      <c r="J109" s="22"/>
      <c r="K109" s="91"/>
      <c r="L109" s="101">
        <f t="shared" si="5"/>
        <v>0</v>
      </c>
      <c r="M109" s="102">
        <f t="shared" si="8"/>
        <v>0</v>
      </c>
      <c r="N109" s="183"/>
      <c r="O109" s="71"/>
      <c r="P109" s="22"/>
    </row>
    <row r="110" spans="2:16" ht="9.75">
      <c r="B110" s="16"/>
      <c r="C110" s="69">
        <f>IF(OR(C109=$F$8,C109=$F$41,C109=0),0,IF(C109=$F$41,0,IF(AND(COUPNCD(C109,$F$8,$F$10,1)&gt;$F$41,$F$41&lt;&gt;""),$F$41,(IF(C109=0,0,IF(C109=$F$8,0,COUPNCD(C109,$F$8,$F$10,1)))))))</f>
        <v>0</v>
      </c>
      <c r="D110" s="2"/>
      <c r="E110" s="259"/>
      <c r="F110" s="29">
        <f t="shared" si="4"/>
        <v>0</v>
      </c>
      <c r="G110" s="29">
        <f t="shared" si="6"/>
        <v>0</v>
      </c>
      <c r="H110" s="52">
        <f t="shared" si="7"/>
        <v>0</v>
      </c>
      <c r="I110" s="299"/>
      <c r="J110" s="22"/>
      <c r="K110" s="91"/>
      <c r="L110" s="101">
        <f t="shared" si="5"/>
        <v>0</v>
      </c>
      <c r="M110" s="102">
        <f t="shared" si="8"/>
        <v>0</v>
      </c>
      <c r="N110" s="183"/>
      <c r="O110" s="71"/>
      <c r="P110" s="22"/>
    </row>
    <row r="111" spans="2:16" ht="9.75">
      <c r="B111" s="16"/>
      <c r="C111" s="69">
        <f>IF(OR(C110=$F$8,C110=$F$41,C110=0),0,IF(C110=$F$41,0,IF(AND(COUPNCD(C110,$F$8,$F$10,1)&gt;$F$41,$F$41&lt;&gt;""),$F$41,(IF(C110=0,0,IF(C110=$F$8,0,COUPNCD(C110,$F$8,$F$10,1)))))))</f>
        <v>0</v>
      </c>
      <c r="D111" s="2"/>
      <c r="E111" s="259"/>
      <c r="F111" s="29">
        <f t="shared" si="4"/>
        <v>0</v>
      </c>
      <c r="G111" s="29">
        <f t="shared" si="6"/>
        <v>0</v>
      </c>
      <c r="H111" s="52">
        <f t="shared" si="7"/>
        <v>0</v>
      </c>
      <c r="I111" s="299"/>
      <c r="J111" s="22"/>
      <c r="K111" s="91"/>
      <c r="L111" s="101">
        <f t="shared" si="5"/>
        <v>0</v>
      </c>
      <c r="M111" s="102">
        <f t="shared" si="8"/>
        <v>0</v>
      </c>
      <c r="N111" s="183"/>
      <c r="O111" s="71"/>
      <c r="P111" s="22"/>
    </row>
    <row r="112" spans="2:16" ht="9.75">
      <c r="B112" s="16"/>
      <c r="C112" s="69">
        <f>IF(OR(C111=$F$8,C111=$F$41,C111=0),0,IF(C111=$F$41,0,IF(AND(COUPNCD(C111,$F$8,$F$10,1)&gt;$F$41,$F$41&lt;&gt;""),$F$41,(IF(C111=0,0,IF(C111=$F$8,0,COUPNCD(C111,$F$8,$F$10,1)))))))</f>
        <v>0</v>
      </c>
      <c r="D112" s="2"/>
      <c r="E112" s="259"/>
      <c r="F112" s="29">
        <f t="shared" si="4"/>
        <v>0</v>
      </c>
      <c r="G112" s="29">
        <f t="shared" si="6"/>
        <v>0</v>
      </c>
      <c r="H112" s="52">
        <f t="shared" si="7"/>
        <v>0</v>
      </c>
      <c r="I112" s="299"/>
      <c r="J112" s="22"/>
      <c r="K112" s="91"/>
      <c r="L112" s="101">
        <f t="shared" si="5"/>
        <v>0</v>
      </c>
      <c r="M112" s="102">
        <f t="shared" si="8"/>
        <v>0</v>
      </c>
      <c r="N112" s="183"/>
      <c r="O112" s="71"/>
      <c r="P112" s="22"/>
    </row>
    <row r="113" spans="2:16" ht="9.75">
      <c r="B113" s="16"/>
      <c r="C113" s="69">
        <f>IF(OR(C112=$F$8,C112=$F$41,C112=0),0,IF(C112=$F$41,0,IF(AND(COUPNCD(C112,$F$8,$F$10,1)&gt;$F$41,$F$41&lt;&gt;""),$F$41,(IF(C112=0,0,IF(C112=$F$8,0,COUPNCD(C112,$F$8,$F$10,1)))))))</f>
        <v>0</v>
      </c>
      <c r="D113" s="2"/>
      <c r="E113" s="259"/>
      <c r="F113" s="29">
        <f t="shared" si="4"/>
        <v>0</v>
      </c>
      <c r="G113" s="29">
        <f t="shared" si="6"/>
        <v>0</v>
      </c>
      <c r="H113" s="52">
        <f t="shared" si="7"/>
        <v>0</v>
      </c>
      <c r="I113" s="299"/>
      <c r="J113" s="22"/>
      <c r="K113" s="91"/>
      <c r="L113" s="101">
        <f t="shared" si="5"/>
        <v>0</v>
      </c>
      <c r="M113" s="102">
        <f t="shared" si="8"/>
        <v>0</v>
      </c>
      <c r="N113" s="183"/>
      <c r="O113" s="71"/>
      <c r="P113" s="22"/>
    </row>
    <row r="114" spans="2:16" ht="9.75">
      <c r="B114" s="16"/>
      <c r="C114" s="69">
        <f>IF(OR(C113=$F$8,C113=$F$41,C113=0),0,IF(C113=$F$41,0,IF(AND(COUPNCD(C113,$F$8,$F$10,1)&gt;$F$41,$F$41&lt;&gt;""),$F$41,(IF(C113=0,0,IF(C113=$F$8,0,COUPNCD(C113,$F$8,$F$10,1)))))))</f>
        <v>0</v>
      </c>
      <c r="D114" s="2"/>
      <c r="E114" s="259"/>
      <c r="F114" s="29">
        <f t="shared" si="4"/>
        <v>0</v>
      </c>
      <c r="G114" s="29">
        <f t="shared" si="6"/>
        <v>0</v>
      </c>
      <c r="H114" s="52">
        <f t="shared" si="7"/>
        <v>0</v>
      </c>
      <c r="I114" s="299"/>
      <c r="J114" s="22"/>
      <c r="K114" s="91"/>
      <c r="L114" s="101">
        <f t="shared" si="5"/>
        <v>0</v>
      </c>
      <c r="M114" s="102">
        <f t="shared" si="8"/>
        <v>0</v>
      </c>
      <c r="N114" s="183"/>
      <c r="O114" s="71"/>
      <c r="P114" s="22"/>
    </row>
    <row r="115" spans="2:16" ht="9.75">
      <c r="B115" s="16"/>
      <c r="C115" s="69">
        <f>IF(OR(C114=$F$8,C114=$F$41,C114=0),0,IF(C114=$F$41,0,IF(AND(COUPNCD(C114,$F$8,$F$10,1)&gt;$F$41,$F$41&lt;&gt;""),$F$41,(IF(C114=0,0,IF(C114=$F$8,0,COUPNCD(C114,$F$8,$F$10,1)))))))</f>
        <v>0</v>
      </c>
      <c r="D115" s="2"/>
      <c r="E115" s="259"/>
      <c r="F115" s="29">
        <f t="shared" si="4"/>
        <v>0</v>
      </c>
      <c r="G115" s="29">
        <f t="shared" si="6"/>
        <v>0</v>
      </c>
      <c r="H115" s="52">
        <f t="shared" si="7"/>
        <v>0</v>
      </c>
      <c r="I115" s="299"/>
      <c r="J115" s="22"/>
      <c r="K115" s="91"/>
      <c r="L115" s="101">
        <f t="shared" si="5"/>
        <v>0</v>
      </c>
      <c r="M115" s="102">
        <f t="shared" si="8"/>
        <v>0</v>
      </c>
      <c r="N115" s="183"/>
      <c r="O115" s="71"/>
      <c r="P115" s="22"/>
    </row>
    <row r="116" spans="2:16" ht="9.75">
      <c r="B116" s="16"/>
      <c r="C116" s="69">
        <f>IF(OR(C115=$F$8,C115=$F$41,C115=0),0,IF(C115=$F$41,0,IF(AND(COUPNCD(C115,$F$8,$F$10,1)&gt;$F$41,$F$41&lt;&gt;""),$F$41,(IF(C115=0,0,IF(C115=$F$8,0,COUPNCD(C115,$F$8,$F$10,1)))))))</f>
        <v>0</v>
      </c>
      <c r="D116" s="2"/>
      <c r="E116" s="259"/>
      <c r="F116" s="29">
        <f t="shared" si="4"/>
        <v>0</v>
      </c>
      <c r="G116" s="29">
        <f t="shared" si="6"/>
        <v>0</v>
      </c>
      <c r="H116" s="52">
        <f t="shared" si="7"/>
        <v>0</v>
      </c>
      <c r="I116" s="299"/>
      <c r="J116" s="22"/>
      <c r="K116" s="91"/>
      <c r="L116" s="101">
        <f t="shared" si="5"/>
        <v>0</v>
      </c>
      <c r="M116" s="102">
        <f t="shared" si="8"/>
        <v>0</v>
      </c>
      <c r="N116" s="183"/>
      <c r="O116" s="71"/>
      <c r="P116" s="22"/>
    </row>
    <row r="117" spans="2:16" ht="9.75">
      <c r="B117" s="16"/>
      <c r="C117" s="69">
        <f>IF(OR(C116=$F$8,C116=$F$41,C116=0),0,IF(C116=$F$41,0,IF(AND(COUPNCD(C116,$F$8,$F$10,1)&gt;$F$41,$F$41&lt;&gt;""),$F$41,(IF(C116=0,0,IF(C116=$F$8,0,COUPNCD(C116,$F$8,$F$10,1)))))))</f>
        <v>0</v>
      </c>
      <c r="D117" s="2"/>
      <c r="E117" s="259"/>
      <c r="F117" s="29">
        <f t="shared" si="4"/>
        <v>0</v>
      </c>
      <c r="G117" s="29">
        <f t="shared" si="6"/>
        <v>0</v>
      </c>
      <c r="H117" s="52">
        <f t="shared" si="7"/>
        <v>0</v>
      </c>
      <c r="I117" s="299"/>
      <c r="J117" s="22"/>
      <c r="K117" s="91"/>
      <c r="L117" s="101">
        <f t="shared" si="5"/>
        <v>0</v>
      </c>
      <c r="M117" s="102">
        <f t="shared" si="8"/>
        <v>0</v>
      </c>
      <c r="N117" s="183"/>
      <c r="O117" s="71"/>
      <c r="P117" s="22"/>
    </row>
    <row r="118" spans="2:16" ht="9.75">
      <c r="B118" s="16"/>
      <c r="C118" s="69">
        <f>IF(OR(C117=$F$8,C117=$F$41,C117=0),0,IF(C117=$F$41,0,IF(AND(COUPNCD(C117,$F$8,$F$10,1)&gt;$F$41,$F$41&lt;&gt;""),$F$41,(IF(C117=0,0,IF(C117=$F$8,0,COUPNCD(C117,$F$8,$F$10,1)))))))</f>
        <v>0</v>
      </c>
      <c r="D118" s="2"/>
      <c r="E118" s="259"/>
      <c r="F118" s="29">
        <f t="shared" si="4"/>
        <v>0</v>
      </c>
      <c r="G118" s="29">
        <f t="shared" si="6"/>
        <v>0</v>
      </c>
      <c r="H118" s="52">
        <f t="shared" si="7"/>
        <v>0</v>
      </c>
      <c r="I118" s="299"/>
      <c r="J118" s="22"/>
      <c r="K118" s="91"/>
      <c r="L118" s="101">
        <f t="shared" si="5"/>
        <v>0</v>
      </c>
      <c r="M118" s="102">
        <f t="shared" si="8"/>
        <v>0</v>
      </c>
      <c r="N118" s="183"/>
      <c r="O118" s="71"/>
      <c r="P118" s="22"/>
    </row>
    <row r="119" spans="2:16" ht="9.75">
      <c r="B119" s="16"/>
      <c r="C119" s="69">
        <f>IF(OR(C118=$F$8,C118=$F$41,C118=0),0,IF(C118=$F$41,0,IF(AND(COUPNCD(C118,$F$8,$F$10,1)&gt;$F$41,$F$41&lt;&gt;""),$F$41,(IF(C118=0,0,IF(C118=$F$8,0,COUPNCD(C118,$F$8,$F$10,1)))))))</f>
        <v>0</v>
      </c>
      <c r="D119" s="2"/>
      <c r="E119" s="259"/>
      <c r="F119" s="29">
        <f t="shared" si="4"/>
        <v>0</v>
      </c>
      <c r="G119" s="29">
        <f t="shared" si="6"/>
        <v>0</v>
      </c>
      <c r="H119" s="52">
        <f t="shared" si="7"/>
        <v>0</v>
      </c>
      <c r="I119" s="299"/>
      <c r="J119" s="22"/>
      <c r="K119" s="91"/>
      <c r="L119" s="101">
        <f t="shared" si="5"/>
        <v>0</v>
      </c>
      <c r="M119" s="102">
        <f t="shared" si="8"/>
        <v>0</v>
      </c>
      <c r="N119" s="183"/>
      <c r="O119" s="71"/>
      <c r="P119" s="22"/>
    </row>
    <row r="120" spans="2:16" ht="9.75">
      <c r="B120" s="16"/>
      <c r="C120" s="69">
        <f>IF(OR(C119=$F$8,C119=$F$41,C119=0),0,IF(C119=$F$41,0,IF(AND(COUPNCD(C119,$F$8,$F$10,1)&gt;$F$41,$F$41&lt;&gt;""),$F$41,(IF(C119=0,0,IF(C119=$F$8,0,COUPNCD(C119,$F$8,$F$10,1)))))))</f>
        <v>0</v>
      </c>
      <c r="D120" s="2"/>
      <c r="E120" s="259"/>
      <c r="F120" s="29">
        <f t="shared" si="4"/>
        <v>0</v>
      </c>
      <c r="G120" s="29">
        <f t="shared" si="6"/>
        <v>0</v>
      </c>
      <c r="H120" s="52">
        <f t="shared" si="7"/>
        <v>0</v>
      </c>
      <c r="I120" s="299"/>
      <c r="J120" s="22"/>
      <c r="K120" s="91"/>
      <c r="L120" s="101">
        <f t="shared" si="5"/>
        <v>0</v>
      </c>
      <c r="M120" s="102">
        <f t="shared" si="8"/>
        <v>0</v>
      </c>
      <c r="N120" s="183"/>
      <c r="O120" s="71"/>
      <c r="P120" s="22"/>
    </row>
    <row r="121" spans="2:16" ht="9.75">
      <c r="B121" s="16"/>
      <c r="C121" s="69">
        <f>IF(OR(C120=$F$8,C120=$F$41,C120=0),0,IF(C120=$F$41,0,IF(AND(COUPNCD(C120,$F$8,$F$10,1)&gt;$F$41,$F$41&lt;&gt;""),$F$41,(IF(C120=0,0,IF(C120=$F$8,0,COUPNCD(C120,$F$8,$F$10,1)))))))</f>
        <v>0</v>
      </c>
      <c r="D121" s="2"/>
      <c r="E121" s="259"/>
      <c r="F121" s="29">
        <f t="shared" si="4"/>
        <v>0</v>
      </c>
      <c r="G121" s="29">
        <f t="shared" si="6"/>
        <v>0</v>
      </c>
      <c r="H121" s="52">
        <f t="shared" si="7"/>
        <v>0</v>
      </c>
      <c r="I121" s="299"/>
      <c r="J121" s="22"/>
      <c r="K121" s="91"/>
      <c r="L121" s="101">
        <f t="shared" si="5"/>
        <v>0</v>
      </c>
      <c r="M121" s="102">
        <f t="shared" si="8"/>
        <v>0</v>
      </c>
      <c r="N121" s="183"/>
      <c r="O121" s="71"/>
      <c r="P121" s="22"/>
    </row>
    <row r="122" spans="2:16" ht="9.75">
      <c r="B122" s="16"/>
      <c r="C122" s="69">
        <f>IF(OR(C121=$F$8,C121=$F$41,C121=0),0,IF(C121=$F$41,0,IF(AND(COUPNCD(C121,$F$8,$F$10,1)&gt;$F$41,$F$41&lt;&gt;""),$F$41,(IF(C121=0,0,IF(C121=$F$8,0,COUPNCD(C121,$F$8,$F$10,1)))))))</f>
        <v>0</v>
      </c>
      <c r="D122" s="2"/>
      <c r="E122" s="259"/>
      <c r="F122" s="29">
        <f t="shared" si="4"/>
        <v>0</v>
      </c>
      <c r="G122" s="29">
        <f t="shared" si="6"/>
        <v>0</v>
      </c>
      <c r="H122" s="52">
        <f t="shared" si="7"/>
        <v>0</v>
      </c>
      <c r="I122" s="299"/>
      <c r="J122" s="22"/>
      <c r="K122" s="91"/>
      <c r="L122" s="101">
        <f t="shared" si="5"/>
        <v>0</v>
      </c>
      <c r="M122" s="102">
        <f t="shared" si="8"/>
        <v>0</v>
      </c>
      <c r="N122" s="183"/>
      <c r="O122" s="71"/>
      <c r="P122" s="22"/>
    </row>
    <row r="123" spans="2:16" ht="9.75">
      <c r="B123" s="16"/>
      <c r="C123" s="69">
        <f>IF(OR(C122=$F$8,C122=$F$41,C122=0),0,IF(C122=$F$41,0,IF(AND(COUPNCD(C122,$F$8,$F$10,1)&gt;$F$41,$F$41&lt;&gt;""),$F$41,(IF(C122=0,0,IF(C122=$F$8,0,COUPNCD(C122,$F$8,$F$10,1)))))))</f>
        <v>0</v>
      </c>
      <c r="D123" s="2"/>
      <c r="E123" s="259"/>
      <c r="F123" s="29">
        <f t="shared" si="4"/>
        <v>0</v>
      </c>
      <c r="G123" s="29">
        <f t="shared" si="6"/>
        <v>0</v>
      </c>
      <c r="H123" s="52">
        <f t="shared" si="7"/>
        <v>0</v>
      </c>
      <c r="I123" s="299"/>
      <c r="J123" s="22"/>
      <c r="K123" s="91"/>
      <c r="L123" s="101">
        <f t="shared" si="5"/>
        <v>0</v>
      </c>
      <c r="M123" s="102">
        <f t="shared" si="8"/>
        <v>0</v>
      </c>
      <c r="N123" s="183"/>
      <c r="O123" s="71"/>
      <c r="P123" s="22"/>
    </row>
    <row r="124" spans="2:15" ht="10.5" thickBot="1">
      <c r="B124" s="72"/>
      <c r="C124" s="73"/>
      <c r="D124" s="73"/>
      <c r="E124" s="73"/>
      <c r="F124" s="73"/>
      <c r="G124" s="73"/>
      <c r="H124" s="73"/>
      <c r="I124" s="73"/>
      <c r="J124" s="73"/>
      <c r="K124" s="105"/>
      <c r="L124" s="73"/>
      <c r="M124" s="73"/>
      <c r="N124" s="73"/>
      <c r="O124" s="74"/>
    </row>
    <row r="125" ht="10.5" thickTop="1"/>
  </sheetData>
  <sheetProtection password="CAD7" sheet="1" objects="1" scenarios="1" formatCells="0" formatColumns="0" formatRows="0"/>
  <mergeCells count="16">
    <mergeCell ref="C23:C36"/>
    <mergeCell ref="C56:C59"/>
    <mergeCell ref="D59:E59"/>
    <mergeCell ref="D58:E58"/>
    <mergeCell ref="D57:E57"/>
    <mergeCell ref="D56:E56"/>
    <mergeCell ref="B2:O2"/>
    <mergeCell ref="L7:N8"/>
    <mergeCell ref="L10:N11"/>
    <mergeCell ref="L5:N5"/>
    <mergeCell ref="L6:N6"/>
    <mergeCell ref="D4:D16"/>
    <mergeCell ref="H4:I4"/>
    <mergeCell ref="H5:I5"/>
    <mergeCell ref="H6:I6"/>
    <mergeCell ref="F4:G4"/>
  </mergeCells>
  <conditionalFormatting sqref="D73:D123">
    <cfRule type="expression" priority="1" dxfId="15" stopIfTrue="1">
      <formula>IF(C73&lt;&gt;0,1,0)</formula>
    </cfRule>
  </conditionalFormatting>
  <conditionalFormatting sqref="I8:I35">
    <cfRule type="expression" priority="2" dxfId="0" stopIfTrue="1">
      <formula>IF(H8&lt;&gt;0,TRUE,FALSE)</formula>
    </cfRule>
  </conditionalFormatting>
  <conditionalFormatting sqref="E64:E123">
    <cfRule type="expression" priority="3" dxfId="0" stopIfTrue="1">
      <formula>IF(AND(C64&lt;&gt;0,G64=0),TRUE,FALSE)</formula>
    </cfRule>
  </conditionalFormatting>
  <conditionalFormatting sqref="G36 G25:G26 N55 G46:G49 G42:G44 I63:I123 N57:N59 G56:G59 G54 N23:N25 N29:N30 U28 N16:N19 N38 N21 N63:N123">
    <cfRule type="cellIs" priority="4" dxfId="5" operator="equal" stopIfTrue="1">
      <formula>0</formula>
    </cfRule>
  </conditionalFormatting>
  <conditionalFormatting sqref="G33:G35 G50 G52:G53 F27:F36 L63:M123 C63:C123 M57:M59 M36:M39 N36:N37 F14:F15 F12 F64:F123 F56:F59 M42 N31:N32 N39 M23:M25 M34:N34 M17:M19 M21 M29:M32 F43:F54 G63:H123">
    <cfRule type="cellIs" priority="5" dxfId="1" operator="equal" stopIfTrue="1">
      <formula>0</formula>
    </cfRule>
  </conditionalFormatting>
  <conditionalFormatting sqref="F13">
    <cfRule type="expression" priority="6" dxfId="1" stopIfTrue="1">
      <formula>$F$9=0</formula>
    </cfRule>
  </conditionalFormatting>
  <conditionalFormatting sqref="M35 M22:N22">
    <cfRule type="cellIs" priority="7" dxfId="3" operator="equal" stopIfTrue="1">
      <formula>0</formula>
    </cfRule>
  </conditionalFormatting>
  <conditionalFormatting sqref="H7:H35">
    <cfRule type="cellIs" priority="8" dxfId="2" operator="equal" stopIfTrue="1">
      <formula>0</formula>
    </cfRule>
  </conditionalFormatting>
  <printOptions horizontalCentered="1" verticalCentered="1"/>
  <pageMargins left="0.393700787401575" right="0.393700787401575" top="0.984251968503937" bottom="0.984251968503937" header="0.511811023622047" footer="0.511811023622047"/>
  <pageSetup fitToHeight="1" fitToWidth="1" horizontalDpi="360" verticalDpi="360" orientation="portrait" paperSize="9" scale="66"/>
  <legacyDrawing r:id="rId3"/>
  <oleObjects>
    <oleObject progId="Equation.3" shapeId="10192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2:V124"/>
  <sheetViews>
    <sheetView showGridLines="0" zoomScale="85" zoomScaleNormal="85" zoomScalePageLayoutView="0" workbookViewId="0" topLeftCell="A1">
      <selection activeCell="F4" sqref="F4:G4"/>
    </sheetView>
  </sheetViews>
  <sheetFormatPr defaultColWidth="9.140625" defaultRowHeight="12.75"/>
  <cols>
    <col min="1" max="1" width="2.421875" style="15" customWidth="1"/>
    <col min="2" max="2" width="2.7109375" style="15" bestFit="1" customWidth="1"/>
    <col min="3" max="3" width="12.140625" style="15" customWidth="1"/>
    <col min="4" max="4" width="11.00390625" style="15" customWidth="1"/>
    <col min="5" max="5" width="22.7109375" style="15" bestFit="1" customWidth="1"/>
    <col min="6" max="6" width="13.8515625" style="15" bestFit="1" customWidth="1"/>
    <col min="7" max="7" width="9.7109375" style="15" customWidth="1"/>
    <col min="8" max="8" width="8.421875" style="15" customWidth="1"/>
    <col min="9" max="9" width="8.8515625" style="15" customWidth="1"/>
    <col min="10" max="11" width="1.7109375" style="15" customWidth="1"/>
    <col min="12" max="12" width="29.28125" style="15" bestFit="1" customWidth="1"/>
    <col min="13" max="13" width="11.28125" style="15" customWidth="1"/>
    <col min="14" max="14" width="9.7109375" style="15" customWidth="1"/>
    <col min="15" max="16" width="1.7109375" style="15" customWidth="1"/>
    <col min="17" max="17" width="9.421875" style="15" bestFit="1" customWidth="1"/>
    <col min="18" max="18" width="11.421875" style="15" bestFit="1" customWidth="1"/>
    <col min="19" max="19" width="22.140625" style="15" bestFit="1" customWidth="1"/>
    <col min="20" max="16384" width="9.140625" style="15" customWidth="1"/>
  </cols>
  <sheetData>
    <row r="1" ht="12" thickBot="1"/>
    <row r="2" spans="2:17" ht="14.25" thickBot="1" thickTop="1">
      <c r="B2" s="450" t="s">
        <v>117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2"/>
      <c r="Q2" s="147" t="s">
        <v>103</v>
      </c>
    </row>
    <row r="3" spans="2:17" ht="8.25" customHeight="1" thickTop="1">
      <c r="B3" s="12"/>
      <c r="C3" s="13"/>
      <c r="D3" s="13"/>
      <c r="E3" s="13"/>
      <c r="F3" s="13"/>
      <c r="G3" s="13"/>
      <c r="H3" s="13"/>
      <c r="I3" s="13"/>
      <c r="J3" s="13"/>
      <c r="K3" s="75"/>
      <c r="L3" s="13"/>
      <c r="M3" s="13"/>
      <c r="N3" s="13"/>
      <c r="O3" s="14"/>
      <c r="P3" s="20"/>
      <c r="Q3" s="147" t="s">
        <v>104</v>
      </c>
    </row>
    <row r="4" spans="2:16" ht="12" customHeight="1" thickBot="1">
      <c r="B4" s="16"/>
      <c r="C4" s="17"/>
      <c r="D4" s="447" t="s">
        <v>26</v>
      </c>
      <c r="E4" s="110" t="s">
        <v>139</v>
      </c>
      <c r="F4" s="465"/>
      <c r="G4" s="466"/>
      <c r="H4" s="493" t="s">
        <v>127</v>
      </c>
      <c r="I4" s="494"/>
      <c r="J4" s="20"/>
      <c r="K4" s="39"/>
      <c r="L4" s="328"/>
      <c r="O4" s="21"/>
      <c r="P4" s="20"/>
    </row>
    <row r="5" spans="2:17" ht="12" customHeight="1" thickTop="1">
      <c r="B5" s="16"/>
      <c r="C5" s="17"/>
      <c r="D5" s="445"/>
      <c r="E5" s="110" t="s">
        <v>36</v>
      </c>
      <c r="F5" s="5"/>
      <c r="G5" s="20"/>
      <c r="H5" s="495" t="s">
        <v>128</v>
      </c>
      <c r="I5" s="496"/>
      <c r="J5" s="20"/>
      <c r="K5" s="39"/>
      <c r="L5" s="459" t="s">
        <v>19</v>
      </c>
      <c r="M5" s="460"/>
      <c r="N5" s="461"/>
      <c r="O5" s="21"/>
      <c r="P5" s="20"/>
      <c r="Q5" s="147" t="s">
        <v>95</v>
      </c>
    </row>
    <row r="6" spans="2:17" ht="12.75">
      <c r="B6" s="16"/>
      <c r="C6" s="17"/>
      <c r="D6" s="445"/>
      <c r="E6" s="110" t="s">
        <v>67</v>
      </c>
      <c r="F6" s="4"/>
      <c r="G6" s="20"/>
      <c r="H6" s="497" t="s">
        <v>129</v>
      </c>
      <c r="I6" s="498"/>
      <c r="J6" s="20"/>
      <c r="K6" s="39"/>
      <c r="L6" s="462" t="s">
        <v>20</v>
      </c>
      <c r="M6" s="463"/>
      <c r="N6" s="464"/>
      <c r="O6" s="21"/>
      <c r="P6" s="20"/>
      <c r="Q6" s="147" t="s">
        <v>96</v>
      </c>
    </row>
    <row r="7" spans="2:17" ht="12" customHeight="1">
      <c r="B7" s="16"/>
      <c r="C7" s="17"/>
      <c r="D7" s="445"/>
      <c r="E7" s="110" t="s">
        <v>68</v>
      </c>
      <c r="F7" s="116"/>
      <c r="G7" s="20"/>
      <c r="H7" s="260">
        <f>F6</f>
        <v>0</v>
      </c>
      <c r="I7" s="18"/>
      <c r="J7" s="20"/>
      <c r="K7" s="39"/>
      <c r="L7" s="453" t="str">
        <f>IF(F5="","Scrivere il codice Isin nella cella F5",HYPERLINK(Q8,"Vai al Regolamento del Titolo"))</f>
        <v>Scrivere il codice Isin nella cella F5</v>
      </c>
      <c r="M7" s="454"/>
      <c r="N7" s="455"/>
      <c r="O7" s="21"/>
      <c r="P7" s="20"/>
      <c r="Q7" s="147" t="s">
        <v>116</v>
      </c>
    </row>
    <row r="8" spans="2:17" ht="12" customHeight="1" thickBot="1">
      <c r="B8" s="16"/>
      <c r="C8" s="20"/>
      <c r="D8" s="445"/>
      <c r="E8" s="110" t="s">
        <v>46</v>
      </c>
      <c r="F8" s="343"/>
      <c r="G8" s="20"/>
      <c r="H8" s="260">
        <f>IF($F$8=0,0,IF(H7=0,0,IF(EDATE(H7,12/$F$10)&lt;=$F$8,EDATE(DATE(YEAR(H7),MONTH(F8),DAY(F8)),12/$F$10),0)))</f>
        <v>0</v>
      </c>
      <c r="I8" s="259"/>
      <c r="J8" s="20"/>
      <c r="K8" s="39"/>
      <c r="L8" s="456"/>
      <c r="M8" s="457"/>
      <c r="N8" s="458"/>
      <c r="O8" s="21"/>
      <c r="P8" s="20"/>
      <c r="Q8" s="147" t="str">
        <f>CONCATENATE(Q7,F5,"&amp;market=MOT&amp;lang=it")</f>
        <v>http://www.borsaitaliana.it/bitApp/caratteristiche.bit?target=Download&amp;isin=&amp;market=MOT&amp;lang=it</v>
      </c>
    </row>
    <row r="9" spans="2:17" ht="12" customHeight="1" thickTop="1">
      <c r="B9" s="16"/>
      <c r="C9" s="23"/>
      <c r="D9" s="445"/>
      <c r="E9" s="187" t="s">
        <v>12</v>
      </c>
      <c r="F9" s="116"/>
      <c r="G9" s="23"/>
      <c r="H9" s="260">
        <f>IF($F$8=0,0,IF(H8=0,0,IF(EDATE(H8,12/$F$10)&lt;=$F$8,EDATE(H8,12/$F$10),0)))</f>
        <v>0</v>
      </c>
      <c r="I9" s="259"/>
      <c r="J9" s="20"/>
      <c r="K9" s="39"/>
      <c r="L9" s="16"/>
      <c r="M9" s="20"/>
      <c r="N9" s="21"/>
      <c r="O9" s="21"/>
      <c r="P9" s="20"/>
      <c r="Q9" s="147"/>
    </row>
    <row r="10" spans="2:17" ht="12" customHeight="1">
      <c r="B10" s="16"/>
      <c r="C10" s="23"/>
      <c r="D10" s="445"/>
      <c r="E10" s="187" t="s">
        <v>111</v>
      </c>
      <c r="F10" s="11">
        <v>1</v>
      </c>
      <c r="G10" s="23"/>
      <c r="H10" s="260">
        <f>IF($F$8=0,0,IF(H9=0,0,IF(EDATE(H9,12/$F$10)&lt;=$F$8,EDATE(H9,12/$F$10),0)))</f>
        <v>0</v>
      </c>
      <c r="I10" s="259"/>
      <c r="J10" s="20"/>
      <c r="K10" s="39"/>
      <c r="L10" s="453" t="str">
        <f>IF(F5="","Scrivere il Codice Isin nella Cella F5",HYPERLINK(Q11,"Vai al Display del Titolo con la sua quotazione"))</f>
        <v>Scrivere il Codice Isin nella Cella F5</v>
      </c>
      <c r="M10" s="454"/>
      <c r="N10" s="455"/>
      <c r="O10" s="21"/>
      <c r="P10" s="20"/>
      <c r="Q10" s="147" t="s">
        <v>97</v>
      </c>
    </row>
    <row r="11" spans="2:22" ht="12" customHeight="1" thickBot="1">
      <c r="B11" s="16"/>
      <c r="C11" s="337" t="s">
        <v>90</v>
      </c>
      <c r="D11" s="445"/>
      <c r="E11" s="187" t="s">
        <v>119</v>
      </c>
      <c r="F11" s="6"/>
      <c r="G11" s="23"/>
      <c r="H11" s="260">
        <f>IF($F$8=0,0,IF(H10=0,0,IF(EDATE(H10,12/$F$10)&lt;=$F$8,EDATE(H10,12/$F$10),0)))</f>
        <v>0</v>
      </c>
      <c r="I11" s="259"/>
      <c r="J11" s="20"/>
      <c r="K11" s="39"/>
      <c r="L11" s="456"/>
      <c r="M11" s="457"/>
      <c r="N11" s="458"/>
      <c r="O11" s="21"/>
      <c r="P11" s="20"/>
      <c r="Q11" s="147" t="str">
        <f>CONCATENATE(Q10,F5,"&amp;market=MOT&amp;lang=it")</f>
        <v>http://www.borsaitaliana.it/borsa/quotazioni/obbligazioni/obbligazioni-in-euro/dati-completi.html?isin=&amp;market=MOT&amp;lang=it</v>
      </c>
      <c r="R11" s="20"/>
      <c r="S11" s="20"/>
      <c r="T11" s="20"/>
      <c r="U11" s="20"/>
      <c r="V11" s="20"/>
    </row>
    <row r="12" spans="2:22" ht="12" customHeight="1" thickTop="1">
      <c r="B12" s="16"/>
      <c r="C12" s="330">
        <v>0.125</v>
      </c>
      <c r="D12" s="445"/>
      <c r="E12" s="187" t="s">
        <v>76</v>
      </c>
      <c r="F12" s="137">
        <f>IF(F9=0,0,(F9-F7))</f>
        <v>0</v>
      </c>
      <c r="G12" s="23"/>
      <c r="H12" s="260">
        <f>IF($F$8=0,0,IF(H11=0,0,IF(EDATE(H11,12/$F$10)&lt;=$F$8,EDATE(H11,12/$F$10),0)))</f>
        <v>0</v>
      </c>
      <c r="I12" s="259"/>
      <c r="J12" s="20"/>
      <c r="K12" s="39"/>
      <c r="L12" s="20"/>
      <c r="M12" s="20"/>
      <c r="N12" s="20"/>
      <c r="O12" s="21"/>
      <c r="P12" s="20"/>
      <c r="R12" s="20"/>
      <c r="S12" s="20"/>
      <c r="T12" s="20"/>
      <c r="U12" s="20"/>
      <c r="V12" s="20"/>
    </row>
    <row r="13" spans="2:22" ht="12" customHeight="1">
      <c r="B13" s="16"/>
      <c r="C13" s="23"/>
      <c r="D13" s="445"/>
      <c r="E13" s="117" t="s">
        <v>34</v>
      </c>
      <c r="F13" s="125">
        <f>IF(OR(F6=0,F8=0),100,IF(F9&gt;F7,F9-C12*F12,F9))</f>
        <v>100</v>
      </c>
      <c r="G13" s="23"/>
      <c r="H13" s="260">
        <f>IF($F$8=0,0,IF(H12=0,0,IF(EDATE(H12,12/$F$10)&lt;=$F$8,EDATE(H12,12/$F$10),0)))</f>
        <v>0</v>
      </c>
      <c r="I13" s="259"/>
      <c r="J13" s="20"/>
      <c r="K13" s="39"/>
      <c r="O13" s="21"/>
      <c r="P13" s="20"/>
      <c r="R13" s="20"/>
      <c r="S13" s="20"/>
      <c r="T13" s="20"/>
      <c r="U13" s="20"/>
      <c r="V13" s="20"/>
    </row>
    <row r="14" spans="2:22" ht="10.5" customHeight="1">
      <c r="B14" s="16"/>
      <c r="C14" s="20"/>
      <c r="D14" s="445"/>
      <c r="E14" s="52" t="s">
        <v>37</v>
      </c>
      <c r="F14" s="52">
        <f>IF(OR(F6=0,F8=0),0,YEARFRAC(F8,F6,0))</f>
        <v>0</v>
      </c>
      <c r="G14" s="23"/>
      <c r="H14" s="260">
        <f>IF($F$8=0,0,IF(H13=0,0,IF(EDATE(H13,12/$F$10)&lt;=$F$8,EDATE(H13,12/$F$10),0)))</f>
        <v>0</v>
      </c>
      <c r="I14" s="259"/>
      <c r="J14" s="20"/>
      <c r="K14" s="39"/>
      <c r="L14" s="141" t="s">
        <v>15</v>
      </c>
      <c r="M14" s="176"/>
      <c r="N14" s="310"/>
      <c r="O14" s="21"/>
      <c r="P14" s="20"/>
      <c r="R14" s="20"/>
      <c r="S14" s="20"/>
      <c r="T14" s="20"/>
      <c r="U14" s="20"/>
      <c r="V14" s="20"/>
    </row>
    <row r="15" spans="2:22" ht="11.25" customHeight="1">
      <c r="B15" s="16"/>
      <c r="C15" s="20"/>
      <c r="D15" s="445"/>
      <c r="E15" s="52" t="s">
        <v>83</v>
      </c>
      <c r="F15" s="7"/>
      <c r="G15" s="24"/>
      <c r="H15" s="260">
        <f>IF($F$8=0,0,IF(H14=0,0,IF(EDATE(H14,12/$F$10)&lt;=$F$8,EDATE(H14,12/$F$10),0)))</f>
        <v>0</v>
      </c>
      <c r="I15" s="261"/>
      <c r="J15" s="46"/>
      <c r="K15" s="76"/>
      <c r="L15" s="142" t="s">
        <v>16</v>
      </c>
      <c r="M15" s="25" t="s">
        <v>141</v>
      </c>
      <c r="N15" s="311"/>
      <c r="O15" s="77"/>
      <c r="P15" s="46"/>
      <c r="R15" s="20"/>
      <c r="S15" s="20"/>
      <c r="T15" s="20"/>
      <c r="U15" s="20"/>
      <c r="V15" s="20"/>
    </row>
    <row r="16" spans="2:22" ht="12.75" customHeight="1">
      <c r="B16" s="16"/>
      <c r="C16" s="280" t="s">
        <v>59</v>
      </c>
      <c r="D16" s="446"/>
      <c r="E16" s="65" t="s">
        <v>84</v>
      </c>
      <c r="F16" s="7"/>
      <c r="H16" s="260">
        <f>IF($F$8=0,0,IF(H15=0,0,IF(EDATE(H15,12/$F$10)&lt;=$F$8,EDATE(H15,12/$F$10),0)))</f>
        <v>0</v>
      </c>
      <c r="I16" s="261"/>
      <c r="J16" s="46"/>
      <c r="K16" s="76"/>
      <c r="L16" s="18" t="s">
        <v>140</v>
      </c>
      <c r="M16" s="9"/>
      <c r="N16" s="183"/>
      <c r="O16" s="77"/>
      <c r="P16" s="46"/>
      <c r="R16" s="20"/>
      <c r="S16" s="20"/>
      <c r="T16" s="20"/>
      <c r="U16" s="20"/>
      <c r="V16" s="20"/>
    </row>
    <row r="17" spans="2:22" ht="11.25">
      <c r="B17" s="16"/>
      <c r="C17" s="202" t="s">
        <v>60</v>
      </c>
      <c r="E17" s="25" t="s">
        <v>80</v>
      </c>
      <c r="F17" s="116"/>
      <c r="H17" s="260">
        <f>IF($F$8=0,0,IF(H16=0,0,IF(EDATE(H16,12/$F$10)&lt;=$F$8,EDATE(H16,12/$F$10),0)))</f>
        <v>0</v>
      </c>
      <c r="I17" s="261"/>
      <c r="J17" s="46"/>
      <c r="K17" s="76"/>
      <c r="L17" s="18" t="s">
        <v>75</v>
      </c>
      <c r="M17" s="30">
        <f>M16*F26/100</f>
        <v>0</v>
      </c>
      <c r="N17" s="183"/>
      <c r="O17" s="77"/>
      <c r="P17" s="46"/>
      <c r="R17" s="20"/>
      <c r="S17" s="20"/>
      <c r="T17" s="20"/>
      <c r="U17" s="20"/>
      <c r="V17" s="20"/>
    </row>
    <row r="18" spans="2:22" ht="11.25">
      <c r="B18" s="16"/>
      <c r="C18" s="281" t="s">
        <v>61</v>
      </c>
      <c r="E18" s="25"/>
      <c r="F18" s="268">
        <f>IF(F15=0,1,F15)</f>
        <v>1</v>
      </c>
      <c r="H18" s="260">
        <f>IF($F$8=0,0,IF(H17=0,0,IF(EDATE(H17,12/$F$10)&lt;=$F$8,EDATE(H17,12/$F$10),0)))</f>
        <v>0</v>
      </c>
      <c r="I18" s="261"/>
      <c r="J18" s="32"/>
      <c r="K18" s="81"/>
      <c r="L18" s="18" t="s">
        <v>69</v>
      </c>
      <c r="M18" s="158">
        <f>M16*F29/100</f>
        <v>0</v>
      </c>
      <c r="N18" s="183"/>
      <c r="O18" s="82"/>
      <c r="P18" s="32"/>
      <c r="R18" s="20"/>
      <c r="S18" s="20"/>
      <c r="T18" s="20"/>
      <c r="U18" s="20"/>
      <c r="V18" s="20"/>
    </row>
    <row r="19" spans="2:22" ht="11.25">
      <c r="B19" s="16"/>
      <c r="C19" s="282" t="s">
        <v>62</v>
      </c>
      <c r="F19" s="275">
        <v>2</v>
      </c>
      <c r="H19" s="260">
        <f>IF($F$8=0,0,IF(H18=0,0,IF(EDATE(H18,12/$F$10)&lt;=$F$8,EDATE(H18,12/$F$10),0)))</f>
        <v>0</v>
      </c>
      <c r="I19" s="261"/>
      <c r="J19" s="32"/>
      <c r="K19" s="81"/>
      <c r="L19" s="18" t="s">
        <v>143</v>
      </c>
      <c r="M19" s="52">
        <f>IF(E27=1,M16*F27/100,M17*F27/100)</f>
        <v>0</v>
      </c>
      <c r="N19" s="183"/>
      <c r="O19" s="82"/>
      <c r="P19" s="32"/>
      <c r="Q19" s="122"/>
      <c r="R19" s="20"/>
      <c r="S19" s="20"/>
      <c r="T19" s="20"/>
      <c r="U19" s="20"/>
      <c r="V19" s="20"/>
    </row>
    <row r="20" spans="2:22" ht="11.25">
      <c r="B20" s="16"/>
      <c r="H20" s="260">
        <f>IF($F$8=0,0,IF(H19=0,0,IF(EDATE(H19,12/$F$10)&lt;=$F$8,EDATE(H19,12/$F$10),0)))</f>
        <v>0</v>
      </c>
      <c r="I20" s="261"/>
      <c r="J20" s="32"/>
      <c r="K20" s="81"/>
      <c r="L20" s="18" t="s">
        <v>4</v>
      </c>
      <c r="M20" s="10"/>
      <c r="N20" s="302"/>
      <c r="O20" s="82"/>
      <c r="P20" s="32"/>
      <c r="Q20" s="122"/>
      <c r="R20" s="20"/>
      <c r="S20" s="20"/>
      <c r="T20" s="20"/>
      <c r="U20" s="20"/>
      <c r="V20" s="20"/>
    </row>
    <row r="21" spans="2:22" ht="11.25">
      <c r="B21" s="16"/>
      <c r="H21" s="260">
        <f>IF($F$8=0,0,IF(H20=0,0,IF(EDATE(H20,12/$F$10)&lt;=$F$8,EDATE(H20,12/$F$10),0)))</f>
        <v>0</v>
      </c>
      <c r="I21" s="261"/>
      <c r="J21" s="32"/>
      <c r="K21" s="81"/>
      <c r="L21" s="18" t="s">
        <v>70</v>
      </c>
      <c r="M21" s="52">
        <f>IF(M16=0,0,F35*M16/100)</f>
        <v>0</v>
      </c>
      <c r="N21" s="183"/>
      <c r="O21" s="82"/>
      <c r="P21" s="32"/>
      <c r="Q21" s="122"/>
      <c r="R21" s="203"/>
      <c r="S21" s="20"/>
      <c r="T21" s="20"/>
      <c r="U21" s="20"/>
      <c r="V21" s="20"/>
    </row>
    <row r="22" spans="2:22" ht="13.5" customHeight="1">
      <c r="B22" s="16"/>
      <c r="D22" s="270" t="s">
        <v>147</v>
      </c>
      <c r="E22" s="112"/>
      <c r="F22" s="271"/>
      <c r="H22" s="260">
        <f>IF($F$8=0,0,IF(H21=0,0,IF(EDATE(H21,12/$F$10)&lt;=$F$8,EDATE(H21,12/$F$10),0)))</f>
        <v>0</v>
      </c>
      <c r="I22" s="261"/>
      <c r="J22" s="32"/>
      <c r="K22" s="81"/>
      <c r="L22" s="18" t="s">
        <v>3</v>
      </c>
      <c r="M22" s="164">
        <f>IF(M16=0,0,(M17-M18+M19+M20)/M16*100)</f>
        <v>0</v>
      </c>
      <c r="N22" s="212"/>
      <c r="O22" s="82"/>
      <c r="P22" s="32"/>
      <c r="Q22" s="122"/>
      <c r="S22" s="20"/>
      <c r="T22" s="20"/>
      <c r="U22" s="20"/>
      <c r="V22" s="20"/>
    </row>
    <row r="23" spans="2:22" ht="13.5" customHeight="1">
      <c r="B23" s="16"/>
      <c r="D23" s="272" t="s">
        <v>148</v>
      </c>
      <c r="E23" s="273"/>
      <c r="F23" s="274"/>
      <c r="H23" s="260">
        <f>IF($F$8=0,0,IF(H22=0,0,IF(EDATE(H22,12/$F$10)&lt;=$F$8,EDATE(H22,12/$F$10),0)))</f>
        <v>0</v>
      </c>
      <c r="I23" s="261"/>
      <c r="J23" s="32"/>
      <c r="K23" s="81"/>
      <c r="L23" s="18" t="s">
        <v>21</v>
      </c>
      <c r="M23" s="30">
        <f>-M18*C12</f>
        <v>0</v>
      </c>
      <c r="N23" s="183"/>
      <c r="O23" s="82"/>
      <c r="P23" s="32"/>
      <c r="Q23" s="167"/>
      <c r="R23" s="20"/>
      <c r="S23" s="20"/>
      <c r="T23" s="20"/>
      <c r="U23" s="20"/>
      <c r="V23" s="20"/>
    </row>
    <row r="24" spans="2:22" ht="11.25">
      <c r="B24" s="16"/>
      <c r="C24" s="208"/>
      <c r="D24" s="181"/>
      <c r="E24" s="333"/>
      <c r="F24" s="2"/>
      <c r="H24" s="260">
        <f>IF($F$8=0,0,IF(H23=0,0,IF(EDATE(H23,12/$F$10)&lt;=$F$8,EDATE(H23,12/$F$10),0)))</f>
        <v>0</v>
      </c>
      <c r="I24" s="261"/>
      <c r="J24" s="32"/>
      <c r="K24" s="81"/>
      <c r="L24" s="18" t="s">
        <v>87</v>
      </c>
      <c r="M24" s="30">
        <f>-M21*C12</f>
        <v>0</v>
      </c>
      <c r="N24" s="183"/>
      <c r="O24" s="82"/>
      <c r="P24" s="32"/>
      <c r="Q24" s="122"/>
      <c r="R24" s="20"/>
      <c r="S24" s="20"/>
      <c r="T24" s="20"/>
      <c r="U24" s="20"/>
      <c r="V24" s="20"/>
    </row>
    <row r="25" spans="2:22" ht="11.25">
      <c r="B25" s="16"/>
      <c r="C25" s="209"/>
      <c r="D25" s="114" t="s">
        <v>101</v>
      </c>
      <c r="E25" s="48"/>
      <c r="F25" s="4"/>
      <c r="G25" s="81"/>
      <c r="H25" s="260">
        <f>IF($F$8=0,0,IF(H24=0,0,IF(EDATE(H24,12/$F$10)&lt;=$F$8,EDATE(H24,12/$F$10),0)))</f>
        <v>0</v>
      </c>
      <c r="I25" s="261"/>
      <c r="J25" s="46"/>
      <c r="K25" s="76"/>
      <c r="L25" s="34" t="s">
        <v>144</v>
      </c>
      <c r="M25" s="35">
        <f>M17+M19+M20+M21+M23+M24</f>
        <v>0</v>
      </c>
      <c r="N25" s="303"/>
      <c r="O25" s="77"/>
      <c r="P25" s="46"/>
      <c r="Q25" s="122"/>
      <c r="R25" s="20"/>
      <c r="S25" s="20"/>
      <c r="T25" s="20"/>
      <c r="U25" s="20"/>
      <c r="V25" s="20"/>
    </row>
    <row r="26" spans="2:22" ht="11.25">
      <c r="B26" s="16"/>
      <c r="C26" s="209"/>
      <c r="D26" s="171" t="s">
        <v>7</v>
      </c>
      <c r="E26" s="114"/>
      <c r="F26" s="116"/>
      <c r="G26" s="84"/>
      <c r="H26" s="260">
        <f>IF($F$8=0,0,IF(H25=0,0,IF(EDATE(H25,12/$F$10)&lt;=$F$8,EDATE(H25,12/$F$10),0)))</f>
        <v>0</v>
      </c>
      <c r="I26" s="261"/>
      <c r="J26" s="46"/>
      <c r="K26" s="76"/>
      <c r="N26" s="46"/>
      <c r="O26" s="77"/>
      <c r="P26" s="46"/>
      <c r="Q26" s="169"/>
      <c r="R26" s="20"/>
      <c r="S26" s="20"/>
      <c r="T26" s="20"/>
      <c r="U26" s="20"/>
      <c r="V26" s="20"/>
    </row>
    <row r="27" spans="2:22" ht="16.5" customHeight="1">
      <c r="B27" s="16"/>
      <c r="C27" s="209"/>
      <c r="D27" s="171"/>
      <c r="E27" s="339">
        <v>2</v>
      </c>
      <c r="F27" s="106"/>
      <c r="G27" s="84"/>
      <c r="H27" s="260">
        <f>IF($F$8=0,0,IF(H26=0,0,IF(EDATE(H26,12/$F$10)&lt;=$F$8,EDATE(H26,12/$F$10),0)))</f>
        <v>0</v>
      </c>
      <c r="I27" s="261"/>
      <c r="J27" s="46"/>
      <c r="K27" s="76"/>
      <c r="L27" s="141" t="s">
        <v>15</v>
      </c>
      <c r="M27" s="176"/>
      <c r="N27" s="46"/>
      <c r="O27" s="77"/>
      <c r="P27" s="46"/>
      <c r="Q27" s="122"/>
      <c r="R27" s="20"/>
      <c r="S27" s="20"/>
      <c r="T27" s="20"/>
      <c r="U27" s="20"/>
      <c r="V27" s="20"/>
    </row>
    <row r="28" spans="2:22" ht="11.25">
      <c r="B28" s="16"/>
      <c r="C28" s="209"/>
      <c r="D28" s="109" t="s">
        <v>39</v>
      </c>
      <c r="E28" s="110"/>
      <c r="F28" s="53">
        <f>IF(F25=0,0,$F$12/($F$8-$F$6)*(F25-$F$6)+$F$7)</f>
        <v>0</v>
      </c>
      <c r="H28" s="260">
        <f>IF($F$8=0,0,IF(H27=0,0,IF(EDATE(H27,12/$F$10)&lt;=$F$8,EDATE(H27,12/$F$10),0)))</f>
        <v>0</v>
      </c>
      <c r="I28" s="261"/>
      <c r="J28" s="46"/>
      <c r="K28" s="76"/>
      <c r="L28" s="142" t="s">
        <v>17</v>
      </c>
      <c r="M28" s="25" t="s">
        <v>141</v>
      </c>
      <c r="N28" s="304"/>
      <c r="O28" s="77"/>
      <c r="P28" s="46"/>
      <c r="Q28" s="122"/>
      <c r="R28" s="20"/>
      <c r="S28" s="20"/>
      <c r="T28" s="94"/>
      <c r="U28" s="134"/>
      <c r="V28" s="20"/>
    </row>
    <row r="29" spans="2:22" ht="11.25">
      <c r="B29" s="16"/>
      <c r="C29" s="209"/>
      <c r="D29" s="171" t="s">
        <v>14</v>
      </c>
      <c r="E29" s="114"/>
      <c r="F29" s="168">
        <f>IF(OR($F$8=0,$F$7=0,F25=0,F26=0,$F$7&gt;$F$8),0,F28-$F$7)</f>
        <v>0</v>
      </c>
      <c r="G29" s="126"/>
      <c r="H29" s="260">
        <f>IF($F$8=0,0,IF(H28=0,0,IF(EDATE(H28,12/$F$10)&lt;=$F$8,EDATE(H28,12/$F$10),0)))</f>
        <v>0</v>
      </c>
      <c r="I29" s="261"/>
      <c r="J29" s="85"/>
      <c r="K29" s="86"/>
      <c r="L29" s="18" t="s">
        <v>140</v>
      </c>
      <c r="M29" s="140">
        <f>M16</f>
        <v>0</v>
      </c>
      <c r="N29" s="183"/>
      <c r="O29" s="87"/>
      <c r="P29" s="85"/>
      <c r="Q29" s="122"/>
      <c r="R29" s="20"/>
      <c r="S29" s="20"/>
      <c r="T29" s="20"/>
      <c r="U29" s="20"/>
      <c r="V29" s="20"/>
    </row>
    <row r="30" spans="2:22" s="42" customFormat="1" ht="11.25">
      <c r="B30" s="40"/>
      <c r="C30" s="209"/>
      <c r="D30" s="179" t="s">
        <v>74</v>
      </c>
      <c r="E30" s="120"/>
      <c r="F30" s="130">
        <f>F26-F29</f>
        <v>0</v>
      </c>
      <c r="G30" s="126"/>
      <c r="H30" s="260">
        <f>IF($F$8=0,0,IF(H29=0,0,IF(EDATE(H29,12/$F$10)&lt;=$F$8,EDATE(H29,12/$F$10),0)))</f>
        <v>0</v>
      </c>
      <c r="I30" s="259"/>
      <c r="J30" s="89"/>
      <c r="K30" s="90"/>
      <c r="L30" s="18" t="s">
        <v>75</v>
      </c>
      <c r="M30" s="30">
        <f>IF(F42&lt;&gt;0,M29*F43/100,F13*M29/100)</f>
        <v>0</v>
      </c>
      <c r="N30" s="183"/>
      <c r="O30" s="43"/>
      <c r="P30" s="89"/>
      <c r="Q30" s="169"/>
      <c r="R30" s="159"/>
      <c r="S30" s="89"/>
      <c r="T30" s="89"/>
      <c r="U30" s="89"/>
      <c r="V30" s="89"/>
    </row>
    <row r="31" spans="2:22" s="42" customFormat="1" ht="11.25">
      <c r="B31" s="40"/>
      <c r="C31" s="209"/>
      <c r="D31" s="179" t="s">
        <v>21</v>
      </c>
      <c r="E31" s="120"/>
      <c r="F31" s="123">
        <f>-F29*C12</f>
        <v>0</v>
      </c>
      <c r="G31" s="83"/>
      <c r="H31" s="260">
        <f>IF($F$8=0,0,IF(H30=0,0,IF(EDATE(H30,12/$F$10)&lt;=$F$8,EDATE(H30,12/$F$10),0)))</f>
        <v>0</v>
      </c>
      <c r="I31" s="259"/>
      <c r="J31" s="89"/>
      <c r="K31" s="90"/>
      <c r="L31" s="18" t="s">
        <v>69</v>
      </c>
      <c r="M31" s="157">
        <f>IF(F42&lt;&gt;0,F47*M29/100,IF(F7&gt;F9,0,F12*M29/100))</f>
        <v>0</v>
      </c>
      <c r="N31" s="183"/>
      <c r="O31" s="43"/>
      <c r="P31" s="89"/>
      <c r="Q31" s="122"/>
      <c r="R31" s="159"/>
      <c r="S31" s="127"/>
      <c r="T31" s="129"/>
      <c r="U31" s="129"/>
      <c r="V31" s="89"/>
    </row>
    <row r="32" spans="2:22" s="42" customFormat="1" ht="11.25" customHeight="1">
      <c r="B32" s="40"/>
      <c r="C32" s="209"/>
      <c r="D32" s="114" t="s">
        <v>146</v>
      </c>
      <c r="E32" s="48"/>
      <c r="F32" s="162">
        <f>IF(OR(F25=0,F26=0,F9=0),0,F13)</f>
        <v>0</v>
      </c>
      <c r="G32" s="84"/>
      <c r="H32" s="260">
        <f>IF($F$8=0,0,IF(H31=0,0,IF(EDATE(H31,12/$F$10)&lt;=$F$8,EDATE(H31,12/$F$10),0)))</f>
        <v>0</v>
      </c>
      <c r="I32" s="259"/>
      <c r="J32" s="89"/>
      <c r="K32" s="90"/>
      <c r="L32" s="18" t="s">
        <v>143</v>
      </c>
      <c r="M32" s="102">
        <f>IF(E44=1,M29*F44/100,M30*F44/100)</f>
        <v>0</v>
      </c>
      <c r="N32" s="183"/>
      <c r="O32" s="43"/>
      <c r="P32" s="89"/>
      <c r="R32" s="159"/>
      <c r="S32" s="127"/>
      <c r="T32" s="129"/>
      <c r="U32" s="129"/>
      <c r="V32" s="89"/>
    </row>
    <row r="33" spans="2:22" ht="11.25">
      <c r="B33" s="16"/>
      <c r="C33" s="209"/>
      <c r="D33" s="173" t="s">
        <v>47</v>
      </c>
      <c r="E33" s="115"/>
      <c r="F33" s="41">
        <f>IF(OR(F10=0,F25=0),0,COUPPCD(F25,F8,F10,1))</f>
        <v>0</v>
      </c>
      <c r="G33" s="84"/>
      <c r="H33" s="260">
        <f>IF($F$8=0,0,IF(H32=0,0,IF(EDATE(H32,12/$F$10)&lt;=$F$8,EDATE(H32,12/$F$10),0)))</f>
        <v>0</v>
      </c>
      <c r="I33" s="259"/>
      <c r="J33" s="22"/>
      <c r="K33" s="91"/>
      <c r="L33" s="18" t="s">
        <v>4</v>
      </c>
      <c r="M33" s="10"/>
      <c r="N33" s="305"/>
      <c r="O33" s="71"/>
      <c r="P33" s="22"/>
      <c r="R33" s="20"/>
      <c r="S33" s="20"/>
      <c r="T33" s="20"/>
      <c r="U33" s="20"/>
      <c r="V33" s="20"/>
    </row>
    <row r="34" spans="2:22" ht="11.25" customHeight="1">
      <c r="B34" s="16"/>
      <c r="C34" s="209"/>
      <c r="D34" s="173" t="s">
        <v>48</v>
      </c>
      <c r="E34" s="115"/>
      <c r="F34" s="41">
        <f>IF(OR(F10=0,F25=0),0,COUPNCD(F25,F8,F10,1))</f>
        <v>0</v>
      </c>
      <c r="G34" s="88"/>
      <c r="H34" s="260">
        <f>IF($F$8=0,0,IF(H33=0,0,IF(EDATE(H33,12/$F$10)&lt;=$F$8,EDATE(H33,12/$F$10),0)))</f>
        <v>0</v>
      </c>
      <c r="I34" s="259"/>
      <c r="J34" s="20"/>
      <c r="K34" s="39"/>
      <c r="L34" s="18" t="s">
        <v>70</v>
      </c>
      <c r="M34" s="30">
        <f>IF(OR(F10=0,F11=0),0,IF(F42&lt;&gt;0,F52*M29/100,(VLOOKUP(F8,C64:G123,5,FALSE)/(1-C12))*M16))</f>
        <v>0</v>
      </c>
      <c r="N34" s="183"/>
      <c r="O34" s="21"/>
      <c r="P34" s="20"/>
      <c r="R34" s="132"/>
      <c r="S34" s="32"/>
      <c r="T34" s="46"/>
      <c r="U34" s="20"/>
      <c r="V34" s="20"/>
    </row>
    <row r="35" spans="2:22" ht="11.25">
      <c r="B35" s="16"/>
      <c r="C35" s="209"/>
      <c r="D35" s="171" t="s">
        <v>70</v>
      </c>
      <c r="E35" s="114"/>
      <c r="F35" s="125" t="e">
        <f>YEARFRAC(F33,F25,F19-1)*F11*100</f>
        <v>#NAME?</v>
      </c>
      <c r="G35" s="88"/>
      <c r="H35" s="260">
        <f>IF($F$8=0,0,IF(H34=0,0,IF(EDATE(H34,12/$F$10)&lt;=$F$8,EDATE(H34,12/$F$10),0)))</f>
        <v>0</v>
      </c>
      <c r="I35" s="259"/>
      <c r="J35" s="20"/>
      <c r="K35" s="39"/>
      <c r="L35" s="155" t="s">
        <v>24</v>
      </c>
      <c r="M35" s="175">
        <f>IF(M16=0,0,(M30-M31-M32-M33)/M29*100)</f>
        <v>0</v>
      </c>
      <c r="N35" s="76"/>
      <c r="O35" s="21"/>
      <c r="P35" s="20"/>
      <c r="S35" s="32"/>
      <c r="T35" s="46"/>
      <c r="U35" s="20"/>
      <c r="V35" s="20"/>
    </row>
    <row r="36" spans="2:22" ht="12.75" customHeight="1">
      <c r="B36" s="16"/>
      <c r="C36" s="209"/>
      <c r="D36" s="171" t="s">
        <v>132</v>
      </c>
      <c r="E36" s="114"/>
      <c r="F36" s="125" t="e">
        <f>F35*(1-C12)</f>
        <v>#NAME?</v>
      </c>
      <c r="G36" s="88"/>
      <c r="H36" s="20"/>
      <c r="I36" s="20"/>
      <c r="J36" s="20"/>
      <c r="K36" s="39"/>
      <c r="L36" s="18" t="s">
        <v>23</v>
      </c>
      <c r="M36" s="30">
        <f>IF(F42&lt;&gt;0,-F47*C12*M29/100,0)</f>
        <v>0</v>
      </c>
      <c r="N36" s="183"/>
      <c r="O36" s="21"/>
      <c r="P36" s="20"/>
      <c r="R36" s="20"/>
      <c r="V36" s="20"/>
    </row>
    <row r="37" spans="2:22" ht="11.25">
      <c r="B37" s="16"/>
      <c r="C37" s="210"/>
      <c r="D37" s="170" t="s">
        <v>133</v>
      </c>
      <c r="E37" s="119"/>
      <c r="F37" s="44">
        <f>IF(F26=0,0,IF(E27=1,F26+F27+F31+F36,F26+F27*F26/100+F31+F36))</f>
        <v>0</v>
      </c>
      <c r="G37" s="297"/>
      <c r="H37" s="20"/>
      <c r="I37" s="20"/>
      <c r="J37" s="20"/>
      <c r="K37" s="39"/>
      <c r="L37" s="18" t="s">
        <v>87</v>
      </c>
      <c r="M37" s="30">
        <f>-M34*C12</f>
        <v>0</v>
      </c>
      <c r="N37" s="183"/>
      <c r="O37" s="21"/>
      <c r="P37" s="20"/>
      <c r="Q37" s="122"/>
      <c r="R37" s="20"/>
      <c r="V37" s="20"/>
    </row>
    <row r="38" spans="2:22" ht="11.25">
      <c r="B38" s="16"/>
      <c r="G38" s="46"/>
      <c r="H38" s="20"/>
      <c r="I38" s="20"/>
      <c r="J38" s="20"/>
      <c r="K38" s="39"/>
      <c r="L38" s="155" t="s">
        <v>25</v>
      </c>
      <c r="M38" s="148">
        <f>M30-M32-M33+M34+M36+M37</f>
        <v>0</v>
      </c>
      <c r="N38" s="306"/>
      <c r="O38" s="21"/>
      <c r="P38" s="20"/>
      <c r="R38" s="20"/>
      <c r="S38" s="20"/>
      <c r="T38" s="20"/>
      <c r="U38" s="20"/>
      <c r="V38" s="20"/>
    </row>
    <row r="39" spans="2:22" ht="11.25">
      <c r="B39" s="16"/>
      <c r="C39" s="208"/>
      <c r="D39" s="180" t="s">
        <v>8</v>
      </c>
      <c r="E39" s="150"/>
      <c r="F39" s="151"/>
      <c r="G39" s="47"/>
      <c r="H39" s="20"/>
      <c r="I39" s="20"/>
      <c r="J39" s="20"/>
      <c r="K39" s="39"/>
      <c r="L39" s="154" t="s">
        <v>5</v>
      </c>
      <c r="M39" s="149"/>
      <c r="N39" s="306"/>
      <c r="O39" s="21"/>
      <c r="P39" s="20"/>
      <c r="R39" s="20"/>
      <c r="S39" s="20"/>
      <c r="T39" s="20"/>
      <c r="U39" s="20"/>
      <c r="V39" s="20"/>
    </row>
    <row r="40" spans="2:22" ht="11.25">
      <c r="B40" s="16"/>
      <c r="C40" s="209"/>
      <c r="D40" s="152"/>
      <c r="E40" s="152"/>
      <c r="F40" s="153"/>
      <c r="G40" s="47"/>
      <c r="H40" s="20"/>
      <c r="I40" s="20"/>
      <c r="J40" s="20"/>
      <c r="K40" s="39"/>
      <c r="N40" s="46"/>
      <c r="O40" s="21"/>
      <c r="P40" s="20"/>
      <c r="R40" s="20"/>
      <c r="S40" s="46"/>
      <c r="T40" s="131"/>
      <c r="U40" s="20"/>
      <c r="V40" s="20"/>
    </row>
    <row r="41" spans="2:22" ht="11.25">
      <c r="B41" s="16"/>
      <c r="C41" s="209"/>
      <c r="D41" s="181"/>
      <c r="E41" s="333"/>
      <c r="F41" s="335"/>
      <c r="G41" s="46"/>
      <c r="H41" s="20"/>
      <c r="I41" s="20"/>
      <c r="J41" s="20"/>
      <c r="K41" s="39"/>
      <c r="L41" s="18" t="s">
        <v>66</v>
      </c>
      <c r="M41" s="106"/>
      <c r="N41" s="183"/>
      <c r="O41" s="21"/>
      <c r="P41" s="20"/>
      <c r="R41" s="20"/>
      <c r="S41" s="46"/>
      <c r="T41" s="131"/>
      <c r="U41" s="20"/>
      <c r="V41" s="20"/>
    </row>
    <row r="42" spans="2:22" ht="11.25">
      <c r="B42" s="16"/>
      <c r="C42" s="209"/>
      <c r="D42" s="171" t="s">
        <v>102</v>
      </c>
      <c r="E42" s="114"/>
      <c r="F42" s="138"/>
      <c r="G42" s="49"/>
      <c r="H42" s="20"/>
      <c r="I42" s="20"/>
      <c r="J42" s="20"/>
      <c r="K42" s="39"/>
      <c r="L42" s="18" t="s">
        <v>145</v>
      </c>
      <c r="M42" s="30">
        <f>IF(OR(M16=0,F11=0,F10=0),0,M16*F11/F10*(1-C12)-M41)</f>
        <v>0</v>
      </c>
      <c r="N42" s="183"/>
      <c r="O42" s="21"/>
      <c r="P42" s="20"/>
      <c r="R42" s="20"/>
      <c r="S42" s="46"/>
      <c r="T42" s="131"/>
      <c r="U42" s="20"/>
      <c r="V42" s="20"/>
    </row>
    <row r="43" spans="2:22" ht="11.25">
      <c r="B43" s="16"/>
      <c r="C43" s="209"/>
      <c r="D43" s="171" t="s">
        <v>6</v>
      </c>
      <c r="E43" s="114"/>
      <c r="F43" s="1"/>
      <c r="G43" s="84"/>
      <c r="H43" s="20"/>
      <c r="I43" s="20"/>
      <c r="J43" s="20"/>
      <c r="K43" s="39"/>
      <c r="N43" s="46"/>
      <c r="O43" s="21"/>
      <c r="P43" s="20"/>
      <c r="R43" s="20"/>
      <c r="S43" s="46"/>
      <c r="T43" s="131"/>
      <c r="U43" s="20"/>
      <c r="V43" s="20"/>
    </row>
    <row r="44" spans="2:22" ht="17.25" customHeight="1">
      <c r="B44" s="16"/>
      <c r="C44" s="209"/>
      <c r="D44" s="171"/>
      <c r="E44" s="339">
        <v>2</v>
      </c>
      <c r="F44" s="1"/>
      <c r="G44" s="84"/>
      <c r="H44" s="20"/>
      <c r="I44" s="20"/>
      <c r="J44" s="20"/>
      <c r="K44" s="39"/>
      <c r="N44" s="46"/>
      <c r="O44" s="21"/>
      <c r="P44" s="20"/>
      <c r="R44" s="20"/>
      <c r="S44" s="20"/>
      <c r="T44" s="20"/>
      <c r="U44" s="20"/>
      <c r="V44" s="20"/>
    </row>
    <row r="45" spans="2:22" ht="11.25">
      <c r="B45" s="16"/>
      <c r="C45" s="209"/>
      <c r="D45" s="171" t="s">
        <v>57</v>
      </c>
      <c r="E45" s="114"/>
      <c r="F45" s="211"/>
      <c r="G45" s="84"/>
      <c r="H45" s="20"/>
      <c r="I45" s="20"/>
      <c r="J45" s="20"/>
      <c r="K45" s="39"/>
      <c r="L45" s="113" t="s">
        <v>0</v>
      </c>
      <c r="M45" s="174">
        <f>M35-M22</f>
        <v>0</v>
      </c>
      <c r="N45" s="46"/>
      <c r="O45" s="21"/>
      <c r="P45" s="20"/>
      <c r="R45" s="20"/>
      <c r="S45" s="20"/>
      <c r="T45" s="20"/>
      <c r="U45" s="20"/>
      <c r="V45" s="20"/>
    </row>
    <row r="46" spans="2:22" ht="11.25">
      <c r="B46" s="16"/>
      <c r="C46" s="209"/>
      <c r="D46" s="109" t="s">
        <v>39</v>
      </c>
      <c r="E46" s="110"/>
      <c r="F46" s="18">
        <f>IF(F42=0,0,$F$12/($F$8-$F$6)*(F42-$F$6)+$F$7)</f>
        <v>0</v>
      </c>
      <c r="G46" s="76"/>
      <c r="H46" s="20"/>
      <c r="I46" s="20"/>
      <c r="J46" s="20"/>
      <c r="K46" s="39"/>
      <c r="L46" s="113" t="s">
        <v>88</v>
      </c>
      <c r="M46" s="174">
        <f>IF(M45&lt;0,0,M45*C12)</f>
        <v>0</v>
      </c>
      <c r="N46" s="46"/>
      <c r="O46" s="21"/>
      <c r="P46" s="20"/>
      <c r="R46" s="20"/>
      <c r="S46" s="20"/>
      <c r="T46" s="20"/>
      <c r="U46" s="20"/>
      <c r="V46" s="20"/>
    </row>
    <row r="47" spans="2:22" ht="11.25">
      <c r="B47" s="16"/>
      <c r="C47" s="209"/>
      <c r="D47" s="181" t="s">
        <v>14</v>
      </c>
      <c r="E47" s="114"/>
      <c r="F47" s="124">
        <f>IF(OR($F$7=0,$F$6=0,F42=0,F43=0,$F$7&gt;$F$9),0,F46-$F$7)</f>
        <v>0</v>
      </c>
      <c r="G47" s="84"/>
      <c r="H47" s="20"/>
      <c r="I47" s="20"/>
      <c r="J47" s="20"/>
      <c r="K47" s="39"/>
      <c r="N47" s="46"/>
      <c r="O47" s="21"/>
      <c r="P47" s="20"/>
      <c r="R47" s="139"/>
      <c r="S47" s="20"/>
      <c r="T47" s="20"/>
      <c r="U47" s="20"/>
      <c r="V47" s="20"/>
    </row>
    <row r="48" spans="2:22" ht="11.25">
      <c r="B48" s="16"/>
      <c r="C48" s="209"/>
      <c r="D48" s="181" t="s">
        <v>74</v>
      </c>
      <c r="E48" s="114"/>
      <c r="F48" s="136">
        <f>F43-F47</f>
        <v>0</v>
      </c>
      <c r="G48" s="84"/>
      <c r="H48" s="20"/>
      <c r="I48" s="20"/>
      <c r="J48" s="20"/>
      <c r="K48" s="39"/>
      <c r="L48" s="18" t="s">
        <v>86</v>
      </c>
      <c r="M48" s="30">
        <f>M45*M16/100</f>
        <v>0</v>
      </c>
      <c r="N48" s="183"/>
      <c r="O48" s="21"/>
      <c r="P48" s="20"/>
      <c r="S48" s="20"/>
      <c r="T48" s="20"/>
      <c r="U48" s="20"/>
      <c r="V48" s="20"/>
    </row>
    <row r="49" spans="2:22" ht="11.25">
      <c r="B49" s="16"/>
      <c r="C49" s="209"/>
      <c r="D49" s="179" t="s">
        <v>21</v>
      </c>
      <c r="E49" s="114"/>
      <c r="F49" s="125">
        <f>F47*C12</f>
        <v>0</v>
      </c>
      <c r="G49" s="84"/>
      <c r="H49" s="20"/>
      <c r="I49" s="20"/>
      <c r="J49" s="20"/>
      <c r="K49" s="39"/>
      <c r="L49" s="18" t="s">
        <v>33</v>
      </c>
      <c r="M49" s="10"/>
      <c r="N49" s="305"/>
      <c r="O49" s="21"/>
      <c r="P49" s="20"/>
      <c r="R49" s="20"/>
      <c r="S49" s="20"/>
      <c r="T49" s="20"/>
      <c r="U49" s="20"/>
      <c r="V49" s="20"/>
    </row>
    <row r="50" spans="2:22" ht="11.25">
      <c r="B50" s="16"/>
      <c r="C50" s="209"/>
      <c r="D50" s="171" t="s">
        <v>131</v>
      </c>
      <c r="E50" s="114"/>
      <c r="F50" s="128">
        <f>IF(F42="",0,(F43-F49))</f>
        <v>0</v>
      </c>
      <c r="G50" s="84"/>
      <c r="H50" s="20"/>
      <c r="I50" s="20"/>
      <c r="J50" s="20"/>
      <c r="K50" s="39"/>
      <c r="L50" s="18" t="s">
        <v>2</v>
      </c>
      <c r="M50" s="30">
        <f>IF(M49&gt;M48,0,M48-M49)</f>
        <v>0</v>
      </c>
      <c r="N50" s="183"/>
      <c r="O50" s="21"/>
      <c r="P50" s="20"/>
      <c r="R50" s="133"/>
      <c r="S50" s="20"/>
      <c r="T50" s="20"/>
      <c r="U50" s="20"/>
      <c r="V50" s="20"/>
    </row>
    <row r="51" spans="2:22" ht="11.25">
      <c r="B51" s="16"/>
      <c r="C51" s="209"/>
      <c r="D51" s="171" t="s">
        <v>47</v>
      </c>
      <c r="E51" s="114"/>
      <c r="F51" s="41">
        <f>IF(F33=0,0,COUPPCD(F42,F8,F10))</f>
        <v>0</v>
      </c>
      <c r="G51" s="238"/>
      <c r="H51" s="20"/>
      <c r="I51" s="20"/>
      <c r="J51" s="20"/>
      <c r="K51" s="39"/>
      <c r="L51" s="18" t="s">
        <v>22</v>
      </c>
      <c r="M51" s="30">
        <f>M50*C12</f>
        <v>0</v>
      </c>
      <c r="N51" s="183"/>
      <c r="O51" s="21"/>
      <c r="P51" s="20"/>
      <c r="R51" s="133"/>
      <c r="S51" s="20"/>
      <c r="T51" s="20"/>
      <c r="U51" s="20"/>
      <c r="V51" s="20"/>
    </row>
    <row r="52" spans="2:22" ht="11.25">
      <c r="B52" s="16"/>
      <c r="C52" s="209"/>
      <c r="D52" s="171" t="s">
        <v>70</v>
      </c>
      <c r="E52" s="114"/>
      <c r="F52" s="125">
        <f>IF(F42="",0,YEARFRAC(F51,F42,F19-1)*F11*100)</f>
        <v>0</v>
      </c>
      <c r="G52" s="238"/>
      <c r="H52" s="20"/>
      <c r="I52" s="20"/>
      <c r="J52" s="20"/>
      <c r="K52" s="39"/>
      <c r="L52" s="65" t="s">
        <v>35</v>
      </c>
      <c r="M52" s="160">
        <f>IF(M49-M48&lt;0,0,M49-M48)</f>
        <v>0</v>
      </c>
      <c r="N52" s="307"/>
      <c r="O52" s="21"/>
      <c r="P52" s="20"/>
      <c r="R52" s="133"/>
      <c r="S52" s="20"/>
      <c r="T52" s="20"/>
      <c r="U52" s="20"/>
      <c r="V52" s="20"/>
    </row>
    <row r="53" spans="2:22" ht="11.25">
      <c r="B53" s="16"/>
      <c r="C53" s="209"/>
      <c r="D53" s="171" t="s">
        <v>132</v>
      </c>
      <c r="E53" s="114"/>
      <c r="F53" s="125">
        <f>F52*(1-C12)</f>
        <v>0</v>
      </c>
      <c r="G53" s="239"/>
      <c r="H53" s="20"/>
      <c r="I53" s="20"/>
      <c r="J53" s="20"/>
      <c r="K53" s="39"/>
      <c r="N53" s="46"/>
      <c r="O53" s="21"/>
      <c r="P53" s="20"/>
      <c r="R53" s="132"/>
      <c r="S53" s="20"/>
      <c r="T53" s="20"/>
      <c r="U53" s="20"/>
      <c r="V53" s="20"/>
    </row>
    <row r="54" spans="2:22" ht="22.5">
      <c r="B54" s="16"/>
      <c r="C54" s="210"/>
      <c r="D54" s="172" t="s">
        <v>32</v>
      </c>
      <c r="E54" s="114"/>
      <c r="F54" s="163">
        <f>IF(F42="",0,IF(E44=1,F53+F50-F44,F53+F50-F44*F43/100))</f>
        <v>0</v>
      </c>
      <c r="G54" s="84"/>
      <c r="H54" s="20"/>
      <c r="I54" s="20"/>
      <c r="J54" s="20"/>
      <c r="K54" s="39"/>
      <c r="L54" s="161" t="s">
        <v>31</v>
      </c>
      <c r="M54" s="79">
        <f>M38-M51</f>
        <v>0</v>
      </c>
      <c r="N54" s="303"/>
      <c r="O54" s="21"/>
      <c r="P54" s="20"/>
      <c r="R54" s="20"/>
      <c r="S54" s="20"/>
      <c r="T54" s="20"/>
      <c r="U54" s="20"/>
      <c r="V54" s="20"/>
    </row>
    <row r="55" spans="2:22" ht="9.75">
      <c r="B55" s="16"/>
      <c r="C55" s="20">
        <f>IF(AND(F42&lt;&gt;0,F42=F51),"ATTENZIONE: DATA VENDITA COJNCIDENTE CON DATA ULTIMA CEDOLA: RISULTATI NON ATTENDIBILI","")</f>
      </c>
      <c r="D55" s="45"/>
      <c r="E55" s="22"/>
      <c r="F55" s="20"/>
      <c r="G55" s="46"/>
      <c r="H55" s="20"/>
      <c r="I55" s="20"/>
      <c r="J55" s="20"/>
      <c r="K55" s="39"/>
      <c r="N55" s="46"/>
      <c r="O55" s="21"/>
      <c r="P55" s="20"/>
      <c r="R55" s="20"/>
      <c r="S55" s="20"/>
      <c r="T55" s="20"/>
      <c r="U55" s="20"/>
      <c r="V55" s="20"/>
    </row>
    <row r="56" spans="2:22" ht="11.25" customHeight="1">
      <c r="B56" s="16"/>
      <c r="C56" s="470" t="s">
        <v>134</v>
      </c>
      <c r="D56" s="482" t="s">
        <v>49</v>
      </c>
      <c r="E56" s="483"/>
      <c r="F56" s="52">
        <f>IF(OR(F25=0,F26=0),0,SUM(H63:H123))</f>
        <v>0</v>
      </c>
      <c r="G56" s="84"/>
      <c r="H56" s="22"/>
      <c r="I56" s="22"/>
      <c r="J56" s="22"/>
      <c r="K56" s="91"/>
      <c r="N56" s="46"/>
      <c r="O56" s="71"/>
      <c r="P56" s="22"/>
      <c r="R56" s="20"/>
      <c r="S56" s="20"/>
      <c r="T56" s="20"/>
      <c r="U56" s="20"/>
      <c r="V56" s="20"/>
    </row>
    <row r="57" spans="2:22" ht="9.75">
      <c r="B57" s="16"/>
      <c r="C57" s="471"/>
      <c r="D57" s="482" t="s">
        <v>45</v>
      </c>
      <c r="E57" s="483"/>
      <c r="F57" s="53">
        <f>IF(OR(F8=0,F25=0),0,IF(F42=0,YEARFRAC(F25,F8,1),YEARFRAC(F25,F42,1)))</f>
        <v>0</v>
      </c>
      <c r="G57" s="84"/>
      <c r="H57" s="22"/>
      <c r="I57" s="22"/>
      <c r="J57" s="22"/>
      <c r="K57" s="91"/>
      <c r="L57" s="18" t="s">
        <v>49</v>
      </c>
      <c r="M57" s="79">
        <f>SUM(M63:M123)</f>
        <v>0</v>
      </c>
      <c r="N57" s="303"/>
      <c r="O57" s="71"/>
      <c r="P57" s="22"/>
      <c r="R57" s="20"/>
      <c r="S57" s="20"/>
      <c r="T57" s="20"/>
      <c r="U57" s="20"/>
      <c r="V57" s="20"/>
    </row>
    <row r="58" spans="2:22" ht="9.75">
      <c r="B58" s="16"/>
      <c r="C58" s="471"/>
      <c r="D58" s="482" t="s">
        <v>51</v>
      </c>
      <c r="E58" s="483"/>
      <c r="F58" s="29">
        <f>IF(OR(F25=0,F8=0,F26=0,F9=0),0,-F56/H63/F57)</f>
        <v>0</v>
      </c>
      <c r="G58" s="86"/>
      <c r="H58" s="45"/>
      <c r="I58" s="45"/>
      <c r="J58" s="45"/>
      <c r="K58" s="92"/>
      <c r="L58" s="18" t="s">
        <v>51</v>
      </c>
      <c r="M58" s="36">
        <f>IF(OR(F25=0,F8=0,F26=0,F9=0,F57=0,M25=0),0,M57/M25/F57)</f>
        <v>0</v>
      </c>
      <c r="N58" s="300"/>
      <c r="O58" s="93"/>
      <c r="P58" s="45"/>
      <c r="R58" s="20"/>
      <c r="S58" s="20"/>
      <c r="T58" s="20"/>
      <c r="U58" s="20"/>
      <c r="V58" s="20"/>
    </row>
    <row r="59" spans="2:22" s="56" customFormat="1" ht="24.75" customHeight="1">
      <c r="B59" s="55"/>
      <c r="C59" s="472"/>
      <c r="D59" s="480" t="s">
        <v>79</v>
      </c>
      <c r="E59" s="481"/>
      <c r="F59" s="36">
        <f>IF(OR($F$25=0,$F$8=0,$F$26=0,$F$9=0),0,IF(AND($F$42=0,$F$57&gt;1),XIRR(H63:H123,$C$63:$C$123),IF(AND($F$42=0,$F$57&lt;1),F56/F37/$F$57,IF(AND($F$42&lt;&gt;0,$F$57&gt;1),XIRR(H63:H123,$C$63:$C$123),F56/F37/$F$57))))</f>
        <v>0</v>
      </c>
      <c r="G59" s="300"/>
      <c r="H59" s="94"/>
      <c r="I59" s="94"/>
      <c r="J59" s="94"/>
      <c r="K59" s="95"/>
      <c r="L59" s="218" t="s">
        <v>78</v>
      </c>
      <c r="M59" s="36">
        <f>IF(OR($F$25=0,$F$8=0,$F$26=0,$F$9=0,M25=0),0,IF(AND($F$42=0,$F$57&gt;1),XIRR(M63:M123,$L$63:$L$123),IF(AND($F$42=0,$F$57&lt;1),(M57/M25/$F$57),IF(AND($F$42&lt;&gt;0,$F$57&gt;1),XIRR(M63:M123,$L$63:$L$123),M57/M25/$F$57))))</f>
        <v>0</v>
      </c>
      <c r="N59" s="300"/>
      <c r="O59" s="96"/>
      <c r="P59" s="94"/>
      <c r="Q59" s="165"/>
      <c r="R59" s="111"/>
      <c r="S59" s="111"/>
      <c r="T59" s="111"/>
      <c r="U59" s="111"/>
      <c r="V59" s="111"/>
    </row>
    <row r="60" spans="2:22" s="56" customFormat="1" ht="10.5" thickBot="1">
      <c r="B60" s="58"/>
      <c r="C60" s="59"/>
      <c r="D60" s="60"/>
      <c r="E60" s="60"/>
      <c r="F60" s="61"/>
      <c r="G60" s="61"/>
      <c r="H60" s="61"/>
      <c r="I60" s="61"/>
      <c r="J60" s="61"/>
      <c r="K60" s="97"/>
      <c r="L60" s="59"/>
      <c r="M60" s="59"/>
      <c r="N60" s="59"/>
      <c r="O60" s="98"/>
      <c r="P60" s="94"/>
      <c r="Q60" s="166"/>
      <c r="R60" s="111"/>
      <c r="S60" s="111"/>
      <c r="T60" s="111"/>
      <c r="U60" s="111"/>
      <c r="V60" s="111"/>
    </row>
    <row r="61" spans="1:22" ht="10.5" thickTop="1">
      <c r="A61" s="344"/>
      <c r="B61" s="345"/>
      <c r="C61" s="204"/>
      <c r="D61" s="346"/>
      <c r="E61" s="347"/>
      <c r="F61" s="204"/>
      <c r="G61" s="204"/>
      <c r="H61" s="204"/>
      <c r="I61" s="20"/>
      <c r="J61" s="20"/>
      <c r="K61" s="39"/>
      <c r="O61" s="21"/>
      <c r="P61" s="20"/>
      <c r="R61" s="111"/>
      <c r="S61" s="20"/>
      <c r="T61" s="20"/>
      <c r="U61" s="20"/>
      <c r="V61" s="20"/>
    </row>
    <row r="62" spans="2:22" ht="19.5">
      <c r="B62" s="16"/>
      <c r="C62" s="64" t="s">
        <v>52</v>
      </c>
      <c r="D62" s="317"/>
      <c r="E62" s="264" t="s">
        <v>82</v>
      </c>
      <c r="F62" s="18" t="s">
        <v>122</v>
      </c>
      <c r="G62" s="64" t="s">
        <v>50</v>
      </c>
      <c r="H62" s="64" t="s">
        <v>53</v>
      </c>
      <c r="I62" s="308"/>
      <c r="J62" s="28"/>
      <c r="K62" s="78"/>
      <c r="L62" s="64" t="s">
        <v>52</v>
      </c>
      <c r="M62" s="25" t="s">
        <v>141</v>
      </c>
      <c r="N62" s="298"/>
      <c r="O62" s="68"/>
      <c r="P62" s="28"/>
      <c r="S62" s="20"/>
      <c r="T62" s="20"/>
      <c r="U62" s="20"/>
      <c r="V62" s="20"/>
    </row>
    <row r="63" spans="2:16" ht="9.75">
      <c r="B63" s="16"/>
      <c r="C63" s="69">
        <f>F25</f>
        <v>0</v>
      </c>
      <c r="D63" s="11"/>
      <c r="E63" s="18"/>
      <c r="F63" s="18"/>
      <c r="G63" s="65"/>
      <c r="H63" s="66">
        <f>-F37</f>
        <v>0</v>
      </c>
      <c r="I63" s="309"/>
      <c r="J63" s="99"/>
      <c r="K63" s="100"/>
      <c r="L63" s="101">
        <f aca="true" t="shared" si="0" ref="L63:L94">C63</f>
        <v>0</v>
      </c>
      <c r="M63" s="102">
        <f>-M25</f>
        <v>0</v>
      </c>
      <c r="N63" s="183"/>
      <c r="O63" s="70"/>
      <c r="P63" s="99"/>
    </row>
    <row r="64" spans="2:16" ht="9.75">
      <c r="B64" s="16"/>
      <c r="C64" s="69">
        <f>IF(AND($F$42&lt;&gt;"",IF($F$10=0,$F$8,$F$34)&gt;$F$42),$F$42,IF($F$10=0,$F8,$F34))</f>
        <v>0</v>
      </c>
      <c r="D64" s="2"/>
      <c r="E64" s="259"/>
      <c r="F64" s="29">
        <f aca="true" t="shared" si="1" ref="F64:F123">IF(OR(C64=0,E64=0),0,$F$17*E64)</f>
        <v>0</v>
      </c>
      <c r="G64" s="29">
        <f>IF(OR(C64=0,C64=$F$42),0,IF(C64&gt;MAX($H$8:$H$35),(IF(E64&lt;=0,$F$16*(1-$C$12),IF(F64&gt;$F$18/$F$10,$F$18*(1-$C$12)/$F$10,IF(F64&lt;$F$16/$F$10,$F$16*(1-$C$12)/$F$10,F64*(1-$C$12))))),IF(VLOOKUP(C64,$H$8:$I$35,2,FALSE)&lt;&gt;0,VLOOKUP(C64,$H$8:$I$35,2,FALSE)*(1-$C$12),IF(E64&lt;=0,$F$16*(1-$C$12),IF(F64&gt;$F$18/$F$10,$F$18*(1-$C$12)/$F$10,IF(F64&lt;$F$16/$F$10,$F$16*(1-$C$12)/$F$10,F64*(1-$C$12)))))))</f>
        <v>0</v>
      </c>
      <c r="H64" s="52">
        <f aca="true" t="shared" si="2" ref="H64:H95">IF(AND(C64=0,G64=0),0,IF(AND(C64=$F$8,$F$42=""),G64*100+$F$32,IF(AND(C64&lt;$F$8,$F$42=""),G64*100,IF(C64=$F$42,$F$54+G64*100,G64*100))))</f>
        <v>0</v>
      </c>
      <c r="I64" s="299"/>
      <c r="J64" s="22"/>
      <c r="K64" s="91"/>
      <c r="L64" s="101">
        <f t="shared" si="0"/>
        <v>0</v>
      </c>
      <c r="M64" s="102">
        <f aca="true" t="shared" si="3" ref="M64:M95">IF(L64=0,0,IF(OR(L64=$F$42,L64=$F$8),$M$54,H64*$M$16/100-$M$41))</f>
        <v>0</v>
      </c>
      <c r="N64" s="183"/>
      <c r="O64" s="71"/>
      <c r="P64" s="22"/>
    </row>
    <row r="65" spans="2:16" ht="9.75">
      <c r="B65" s="16"/>
      <c r="C65" s="69">
        <f>IF(OR(C64=$F$8,C64=$F$42),0,IF(C64=$F$42,0,IF(AND(COUPNCD(C64,$F$8,$F$10,1)&gt;$F$42,$F$42&lt;&gt;""),$F$42,(IF(C64=0,0,IF(C64=$F$8,0,COUPNCD(C64,$F$8,$F$10,1)))))))</f>
        <v>0</v>
      </c>
      <c r="D65" s="2"/>
      <c r="E65" s="259"/>
      <c r="F65" s="29">
        <f t="shared" si="1"/>
        <v>0</v>
      </c>
      <c r="G65" s="29">
        <f aca="true" t="shared" si="4" ref="G65:G123">IF(OR(C65=0,C65=$F$42),0,IF(C65&gt;MAX($H$8:$H$35),(IF(E65&lt;=0,$F$16*(1-$C$12),IF(F65&gt;$F$18/$F$10,$F$18*(1-$C$12)/$F$10,IF(F65&lt;$F$16/$F$10,$F$16*(1-$C$12)/$F$10,F65*(1-$C$12))))),IF(VLOOKUP(C65,$H$8:$I$35,2,FALSE)&lt;&gt;0,VLOOKUP(C65,$H$8:$I$35,2,FALSE)*(1-$C$12),IF(E65&lt;=0,$F$16*(1-$C$12),IF(F65&gt;$F$18/$F$10,$F$18*(1-$C$12)/$F$10,IF(F65&lt;$F$16/$F$10,$F$16*(1-$C$12)/$F$10,F65*(1-$C$12)))))))</f>
        <v>0</v>
      </c>
      <c r="H65" s="52">
        <f t="shared" si="2"/>
        <v>0</v>
      </c>
      <c r="I65" s="299"/>
      <c r="J65" s="22"/>
      <c r="K65" s="91"/>
      <c r="L65" s="101">
        <f t="shared" si="0"/>
        <v>0</v>
      </c>
      <c r="M65" s="102">
        <f t="shared" si="3"/>
        <v>0</v>
      </c>
      <c r="N65" s="183"/>
      <c r="O65" s="71"/>
      <c r="P65" s="22"/>
    </row>
    <row r="66" spans="2:16" ht="9.75">
      <c r="B66" s="16"/>
      <c r="C66" s="69">
        <f>IF(OR(C65=$F$8,C65=$F$42,C65=0),0,IF(C65=$F$42,0,IF(AND(COUPNCD(C65,$F$8,$F$10,1)&gt;$F$42,$F$42&lt;&gt;""),$F$42,(IF(C65=0,0,IF(C65=$F$8,0,COUPNCD(C65,$F$8,$F$10,1)))))))</f>
        <v>0</v>
      </c>
      <c r="D66" s="2"/>
      <c r="E66" s="259"/>
      <c r="F66" s="29">
        <f t="shared" si="1"/>
        <v>0</v>
      </c>
      <c r="G66" s="29">
        <f t="shared" si="4"/>
        <v>0</v>
      </c>
      <c r="H66" s="52">
        <f t="shared" si="2"/>
        <v>0</v>
      </c>
      <c r="I66" s="299"/>
      <c r="J66" s="22"/>
      <c r="K66" s="91"/>
      <c r="L66" s="101">
        <f t="shared" si="0"/>
        <v>0</v>
      </c>
      <c r="M66" s="102">
        <f t="shared" si="3"/>
        <v>0</v>
      </c>
      <c r="N66" s="183"/>
      <c r="O66" s="71"/>
      <c r="P66" s="22"/>
    </row>
    <row r="67" spans="2:16" ht="9.75">
      <c r="B67" s="16"/>
      <c r="C67" s="69">
        <f>IF(OR(C66=$F$8,C66=$F$42,C66=0),0,IF(C66=$F$42,0,IF(AND(COUPNCD(C66,$F$8,$F$10,1)&gt;$F$42,$F$42&lt;&gt;""),$F$42,(IF(C66=0,0,IF(C66=$F$8,0,COUPNCD(C66,$F$8,$F$10,1)))))))</f>
        <v>0</v>
      </c>
      <c r="D67" s="2"/>
      <c r="E67" s="259"/>
      <c r="F67" s="29">
        <f t="shared" si="1"/>
        <v>0</v>
      </c>
      <c r="G67" s="29">
        <f t="shared" si="4"/>
        <v>0</v>
      </c>
      <c r="H67" s="52">
        <f t="shared" si="2"/>
        <v>0</v>
      </c>
      <c r="I67" s="299"/>
      <c r="J67" s="22"/>
      <c r="K67" s="91"/>
      <c r="L67" s="101">
        <f t="shared" si="0"/>
        <v>0</v>
      </c>
      <c r="M67" s="102">
        <f t="shared" si="3"/>
        <v>0</v>
      </c>
      <c r="N67" s="183"/>
      <c r="O67" s="71"/>
      <c r="P67" s="22"/>
    </row>
    <row r="68" spans="2:16" ht="9.75">
      <c r="B68" s="16"/>
      <c r="C68" s="69">
        <f>IF(OR(C67=$F$8,C67=$F$42,C67=0),0,IF(C67=$F$42,0,IF(AND(COUPNCD(C67,$F$8,$F$10,1)&gt;$F$42,$F$42&lt;&gt;""),$F$42,(IF(C67=0,0,IF(C67=$F$8,0,COUPNCD(C67,$F$8,$F$10,1)))))))</f>
        <v>0</v>
      </c>
      <c r="D68" s="2"/>
      <c r="E68" s="259"/>
      <c r="F68" s="29">
        <f t="shared" si="1"/>
        <v>0</v>
      </c>
      <c r="G68" s="29">
        <f t="shared" si="4"/>
        <v>0</v>
      </c>
      <c r="H68" s="52">
        <f t="shared" si="2"/>
        <v>0</v>
      </c>
      <c r="I68" s="299"/>
      <c r="J68" s="22"/>
      <c r="K68" s="91"/>
      <c r="L68" s="101">
        <f t="shared" si="0"/>
        <v>0</v>
      </c>
      <c r="M68" s="102">
        <f t="shared" si="3"/>
        <v>0</v>
      </c>
      <c r="N68" s="183"/>
      <c r="O68" s="71"/>
      <c r="P68" s="22"/>
    </row>
    <row r="69" spans="2:16" ht="9.75">
      <c r="B69" s="16"/>
      <c r="C69" s="69">
        <f>IF(OR(C68=$F$8,C68=$F$42,C68=0),0,IF(C68=$F$42,0,IF(AND(COUPNCD(C68,$F$8,$F$10,1)&gt;$F$42,$F$42&lt;&gt;""),$F$42,(IF(C68=0,0,IF(C68=$F$8,0,COUPNCD(C68,$F$8,$F$10,1)))))))</f>
        <v>0</v>
      </c>
      <c r="D69" s="2"/>
      <c r="E69" s="259"/>
      <c r="F69" s="29">
        <f t="shared" si="1"/>
        <v>0</v>
      </c>
      <c r="G69" s="29">
        <f t="shared" si="4"/>
        <v>0</v>
      </c>
      <c r="H69" s="52">
        <f t="shared" si="2"/>
        <v>0</v>
      </c>
      <c r="I69" s="299"/>
      <c r="J69" s="22"/>
      <c r="K69" s="91"/>
      <c r="L69" s="101">
        <f t="shared" si="0"/>
        <v>0</v>
      </c>
      <c r="M69" s="102">
        <f t="shared" si="3"/>
        <v>0</v>
      </c>
      <c r="N69" s="183"/>
      <c r="O69" s="71"/>
      <c r="P69" s="22"/>
    </row>
    <row r="70" spans="2:16" ht="9.75">
      <c r="B70" s="16"/>
      <c r="C70" s="69">
        <f>IF(OR(C69=$F$8,C69=$F$42,C69=0),0,IF(C69=$F$42,0,IF(AND(COUPNCD(C69,$F$8,$F$10,1)&gt;$F$42,$F$42&lt;&gt;""),$F$42,(IF(C69=0,0,IF(C69=$F$8,0,COUPNCD(C69,$F$8,$F$10,1)))))))</f>
        <v>0</v>
      </c>
      <c r="D70" s="2"/>
      <c r="E70" s="259"/>
      <c r="F70" s="29">
        <f t="shared" si="1"/>
        <v>0</v>
      </c>
      <c r="G70" s="29">
        <f t="shared" si="4"/>
        <v>0</v>
      </c>
      <c r="H70" s="52">
        <f t="shared" si="2"/>
        <v>0</v>
      </c>
      <c r="I70" s="299"/>
      <c r="J70" s="22"/>
      <c r="K70" s="91"/>
      <c r="L70" s="101">
        <f t="shared" si="0"/>
        <v>0</v>
      </c>
      <c r="M70" s="102">
        <f t="shared" si="3"/>
        <v>0</v>
      </c>
      <c r="N70" s="183"/>
      <c r="O70" s="71"/>
      <c r="P70" s="22"/>
    </row>
    <row r="71" spans="2:16" ht="9.75">
      <c r="B71" s="16"/>
      <c r="C71" s="69">
        <f>IF(OR(C70=$F$8,C70=$F$42,C70=0),0,IF(C70=$F$42,0,IF(AND(COUPNCD(C70,$F$8,$F$10,1)&gt;$F$42,$F$42&lt;&gt;""),$F$42,(IF(C70=0,0,IF(C70=$F$8,0,COUPNCD(C70,$F$8,$F$10,1)))))))</f>
        <v>0</v>
      </c>
      <c r="D71" s="2"/>
      <c r="E71" s="259"/>
      <c r="F71" s="29">
        <f t="shared" si="1"/>
        <v>0</v>
      </c>
      <c r="G71" s="29">
        <f t="shared" si="4"/>
        <v>0</v>
      </c>
      <c r="H71" s="52">
        <f t="shared" si="2"/>
        <v>0</v>
      </c>
      <c r="I71" s="299"/>
      <c r="J71" s="22"/>
      <c r="K71" s="91"/>
      <c r="L71" s="101">
        <f t="shared" si="0"/>
        <v>0</v>
      </c>
      <c r="M71" s="102">
        <f t="shared" si="3"/>
        <v>0</v>
      </c>
      <c r="N71" s="183"/>
      <c r="O71" s="71"/>
      <c r="P71" s="22"/>
    </row>
    <row r="72" spans="2:19" ht="9.75">
      <c r="B72" s="16"/>
      <c r="C72" s="69">
        <f>IF(OR(C71=$F$8,C71=$F$42,C71=0),0,IF(C71=$F$42,0,IF(AND(COUPNCD(C71,$F$8,$F$10,1)&gt;$F$42,$F$42&lt;&gt;""),$F$42,(IF(C71=0,0,IF(C71=$F$8,0,COUPNCD(C71,$F$8,$F$10,1)))))))</f>
        <v>0</v>
      </c>
      <c r="D72" s="2"/>
      <c r="E72" s="259"/>
      <c r="F72" s="29">
        <f t="shared" si="1"/>
        <v>0</v>
      </c>
      <c r="G72" s="29">
        <f t="shared" si="4"/>
        <v>0</v>
      </c>
      <c r="H72" s="52">
        <f t="shared" si="2"/>
        <v>0</v>
      </c>
      <c r="I72" s="299"/>
      <c r="J72" s="22"/>
      <c r="K72" s="91"/>
      <c r="L72" s="101">
        <f t="shared" si="0"/>
        <v>0</v>
      </c>
      <c r="M72" s="102">
        <f t="shared" si="3"/>
        <v>0</v>
      </c>
      <c r="N72" s="183"/>
      <c r="O72" s="71"/>
      <c r="P72" s="22"/>
      <c r="S72" s="122"/>
    </row>
    <row r="73" spans="2:16" ht="9.75">
      <c r="B73" s="16"/>
      <c r="C73" s="69">
        <f>IF(OR(C72=$F$8,C72=$F$42,C72=0),0,IF(C72=$F$42,0,IF(AND(COUPNCD(C72,$F$8,$F$10,1)&gt;$F$42,$F$42&lt;&gt;""),$F$42,(IF(C72=0,0,IF(C72=$F$8,0,COUPNCD(C72,$F$8,$F$10,1)))))))</f>
        <v>0</v>
      </c>
      <c r="D73" s="2"/>
      <c r="E73" s="259"/>
      <c r="F73" s="29">
        <f t="shared" si="1"/>
        <v>0</v>
      </c>
      <c r="G73" s="29">
        <f t="shared" si="4"/>
        <v>0</v>
      </c>
      <c r="H73" s="52">
        <f t="shared" si="2"/>
        <v>0</v>
      </c>
      <c r="I73" s="299"/>
      <c r="J73" s="22"/>
      <c r="K73" s="91"/>
      <c r="L73" s="101">
        <f t="shared" si="0"/>
        <v>0</v>
      </c>
      <c r="M73" s="102">
        <f t="shared" si="3"/>
        <v>0</v>
      </c>
      <c r="N73" s="183"/>
      <c r="O73" s="71"/>
      <c r="P73" s="22"/>
    </row>
    <row r="74" spans="2:16" ht="9.75">
      <c r="B74" s="16"/>
      <c r="C74" s="69">
        <f>IF(OR(C73=$F$8,C73=$F$42,C73=0),0,IF(C73=$F$42,0,IF(AND(COUPNCD(C73,$F$8,$F$10,1)&gt;$F$42,$F$42&lt;&gt;""),$F$42,(IF(C73=0,0,IF(C73=$F$8,0,COUPNCD(C73,$F$8,$F$10,1)))))))</f>
        <v>0</v>
      </c>
      <c r="D74" s="2"/>
      <c r="E74" s="259"/>
      <c r="F74" s="29">
        <f t="shared" si="1"/>
        <v>0</v>
      </c>
      <c r="G74" s="29">
        <f t="shared" si="4"/>
        <v>0</v>
      </c>
      <c r="H74" s="52">
        <f t="shared" si="2"/>
        <v>0</v>
      </c>
      <c r="I74" s="299"/>
      <c r="J74" s="22"/>
      <c r="K74" s="91"/>
      <c r="L74" s="101">
        <f t="shared" si="0"/>
        <v>0</v>
      </c>
      <c r="M74" s="102">
        <f t="shared" si="3"/>
        <v>0</v>
      </c>
      <c r="N74" s="183"/>
      <c r="O74" s="71"/>
      <c r="P74" s="22"/>
    </row>
    <row r="75" spans="2:16" ht="9.75">
      <c r="B75" s="16"/>
      <c r="C75" s="69">
        <f>IF(OR(C74=$F$8,C74=$F$42,C74=0),0,IF(C74=$F$42,0,IF(AND(COUPNCD(C74,$F$8,$F$10,1)&gt;$F$42,$F$42&lt;&gt;""),$F$42,(IF(C74=0,0,IF(C74=$F$8,0,COUPNCD(C74,$F$8,$F$10,1)))))))</f>
        <v>0</v>
      </c>
      <c r="D75" s="2"/>
      <c r="E75" s="259"/>
      <c r="F75" s="29">
        <f t="shared" si="1"/>
        <v>0</v>
      </c>
      <c r="G75" s="29">
        <f t="shared" si="4"/>
        <v>0</v>
      </c>
      <c r="H75" s="52">
        <f t="shared" si="2"/>
        <v>0</v>
      </c>
      <c r="I75" s="299"/>
      <c r="J75" s="22"/>
      <c r="K75" s="91"/>
      <c r="L75" s="101">
        <f t="shared" si="0"/>
        <v>0</v>
      </c>
      <c r="M75" s="102">
        <f t="shared" si="3"/>
        <v>0</v>
      </c>
      <c r="N75" s="183"/>
      <c r="O75" s="71"/>
      <c r="P75" s="22"/>
    </row>
    <row r="76" spans="2:16" ht="9.75">
      <c r="B76" s="16"/>
      <c r="C76" s="69">
        <f>IF(OR(C75=$F$8,C75=$F$42,C75=0),0,IF(C75=$F$42,0,IF(AND(COUPNCD(C75,$F$8,$F$10,1)&gt;$F$42,$F$42&lt;&gt;""),$F$42,(IF(C75=0,0,IF(C75=$F$8,0,COUPNCD(C75,$F$8,$F$10,1)))))))</f>
        <v>0</v>
      </c>
      <c r="D76" s="2"/>
      <c r="E76" s="259"/>
      <c r="F76" s="29">
        <f t="shared" si="1"/>
        <v>0</v>
      </c>
      <c r="G76" s="29">
        <f t="shared" si="4"/>
        <v>0</v>
      </c>
      <c r="H76" s="52">
        <f t="shared" si="2"/>
        <v>0</v>
      </c>
      <c r="I76" s="299"/>
      <c r="J76" s="22"/>
      <c r="K76" s="91"/>
      <c r="L76" s="101">
        <f t="shared" si="0"/>
        <v>0</v>
      </c>
      <c r="M76" s="102">
        <f t="shared" si="3"/>
        <v>0</v>
      </c>
      <c r="N76" s="183"/>
      <c r="O76" s="71"/>
      <c r="P76" s="22"/>
    </row>
    <row r="77" spans="2:16" ht="9.75">
      <c r="B77" s="16"/>
      <c r="C77" s="69">
        <f>IF(OR(C76=$F$8,C76=$F$42,C76=0),0,IF(C76=$F$42,0,IF(AND(COUPNCD(C76,$F$8,$F$10,1)&gt;$F$42,$F$42&lt;&gt;""),$F$42,(IF(C76=0,0,IF(C76=$F$8,0,COUPNCD(C76,$F$8,$F$10,1)))))))</f>
        <v>0</v>
      </c>
      <c r="D77" s="2"/>
      <c r="E77" s="259"/>
      <c r="F77" s="29">
        <f t="shared" si="1"/>
        <v>0</v>
      </c>
      <c r="G77" s="29">
        <f t="shared" si="4"/>
        <v>0</v>
      </c>
      <c r="H77" s="52">
        <f t="shared" si="2"/>
        <v>0</v>
      </c>
      <c r="I77" s="299"/>
      <c r="J77" s="22"/>
      <c r="K77" s="91"/>
      <c r="L77" s="101">
        <f t="shared" si="0"/>
        <v>0</v>
      </c>
      <c r="M77" s="102">
        <f t="shared" si="3"/>
        <v>0</v>
      </c>
      <c r="N77" s="183"/>
      <c r="O77" s="71"/>
      <c r="P77" s="22"/>
    </row>
    <row r="78" spans="2:16" ht="9.75">
      <c r="B78" s="16"/>
      <c r="C78" s="69">
        <f>IF(OR(C77=$F$8,C77=$F$42,C77=0),0,IF(C77=$F$42,0,IF(AND(COUPNCD(C77,$F$8,$F$10,1)&gt;$F$42,$F$42&lt;&gt;""),$F$42,(IF(C77=0,0,IF(C77=$F$8,0,COUPNCD(C77,$F$8,$F$10,1)))))))</f>
        <v>0</v>
      </c>
      <c r="D78" s="2"/>
      <c r="E78" s="259"/>
      <c r="F78" s="29">
        <f t="shared" si="1"/>
        <v>0</v>
      </c>
      <c r="G78" s="29">
        <f t="shared" si="4"/>
        <v>0</v>
      </c>
      <c r="H78" s="52">
        <f t="shared" si="2"/>
        <v>0</v>
      </c>
      <c r="I78" s="299"/>
      <c r="J78" s="22"/>
      <c r="K78" s="91"/>
      <c r="L78" s="101">
        <f t="shared" si="0"/>
        <v>0</v>
      </c>
      <c r="M78" s="102">
        <f t="shared" si="3"/>
        <v>0</v>
      </c>
      <c r="N78" s="183"/>
      <c r="O78" s="71"/>
      <c r="P78" s="22"/>
    </row>
    <row r="79" spans="2:16" ht="9.75">
      <c r="B79" s="16"/>
      <c r="C79" s="69">
        <f>IF(OR(C78=$F$8,C78=$F$42,C78=0),0,IF(C78=$F$42,0,IF(AND(COUPNCD(C78,$F$8,$F$10,1)&gt;$F$42,$F$42&lt;&gt;""),$F$42,(IF(C78=0,0,IF(C78=$F$8,0,COUPNCD(C78,$F$8,$F$10,1)))))))</f>
        <v>0</v>
      </c>
      <c r="D79" s="2"/>
      <c r="E79" s="259"/>
      <c r="F79" s="29">
        <f t="shared" si="1"/>
        <v>0</v>
      </c>
      <c r="G79" s="29">
        <f t="shared" si="4"/>
        <v>0</v>
      </c>
      <c r="H79" s="52">
        <f t="shared" si="2"/>
        <v>0</v>
      </c>
      <c r="I79" s="299"/>
      <c r="J79" s="22"/>
      <c r="K79" s="91"/>
      <c r="L79" s="101">
        <f t="shared" si="0"/>
        <v>0</v>
      </c>
      <c r="M79" s="102">
        <f t="shared" si="3"/>
        <v>0</v>
      </c>
      <c r="N79" s="183"/>
      <c r="O79" s="71"/>
      <c r="P79" s="22"/>
    </row>
    <row r="80" spans="2:16" ht="9.75">
      <c r="B80" s="16"/>
      <c r="C80" s="69">
        <f>IF(OR(C79=$F$8,C79=$F$42,C79=0),0,IF(C79=$F$42,0,IF(AND(COUPNCD(C79,$F$8,$F$10,1)&gt;$F$42,$F$42&lt;&gt;""),$F$42,(IF(C79=0,0,IF(C79=$F$8,0,COUPNCD(C79,$F$8,$F$10,1)))))))</f>
        <v>0</v>
      </c>
      <c r="D80" s="2"/>
      <c r="E80" s="259"/>
      <c r="F80" s="29">
        <f t="shared" si="1"/>
        <v>0</v>
      </c>
      <c r="G80" s="29">
        <f t="shared" si="4"/>
        <v>0</v>
      </c>
      <c r="H80" s="52">
        <f t="shared" si="2"/>
        <v>0</v>
      </c>
      <c r="I80" s="299"/>
      <c r="J80" s="22"/>
      <c r="K80" s="91"/>
      <c r="L80" s="101">
        <f t="shared" si="0"/>
        <v>0</v>
      </c>
      <c r="M80" s="102">
        <f t="shared" si="3"/>
        <v>0</v>
      </c>
      <c r="N80" s="183"/>
      <c r="O80" s="71"/>
      <c r="P80" s="22"/>
    </row>
    <row r="81" spans="2:16" ht="9.75">
      <c r="B81" s="16"/>
      <c r="C81" s="69">
        <f>IF(OR(C80=$F$8,C80=$F$42,C80=0),0,IF(C80=$F$42,0,IF(AND(COUPNCD(C80,$F$8,$F$10,1)&gt;$F$42,$F$42&lt;&gt;""),$F$42,(IF(C80=0,0,IF(C80=$F$8,0,COUPNCD(C80,$F$8,$F$10,1)))))))</f>
        <v>0</v>
      </c>
      <c r="D81" s="2"/>
      <c r="E81" s="259"/>
      <c r="F81" s="29">
        <f t="shared" si="1"/>
        <v>0</v>
      </c>
      <c r="G81" s="29">
        <f t="shared" si="4"/>
        <v>0</v>
      </c>
      <c r="H81" s="52">
        <f t="shared" si="2"/>
        <v>0</v>
      </c>
      <c r="I81" s="299"/>
      <c r="J81" s="22"/>
      <c r="K81" s="91"/>
      <c r="L81" s="101">
        <f t="shared" si="0"/>
        <v>0</v>
      </c>
      <c r="M81" s="102">
        <f t="shared" si="3"/>
        <v>0</v>
      </c>
      <c r="N81" s="183"/>
      <c r="O81" s="71"/>
      <c r="P81" s="22"/>
    </row>
    <row r="82" spans="2:16" ht="9.75">
      <c r="B82" s="16"/>
      <c r="C82" s="69">
        <f>IF(OR(C81=$F$8,C81=$F$42,C81=0),0,IF(C81=$F$42,0,IF(AND(COUPNCD(C81,$F$8,$F$10,1)&gt;$F$42,$F$42&lt;&gt;""),$F$42,(IF(C81=0,0,IF(C81=$F$8,0,COUPNCD(C81,$F$8,$F$10,1)))))))</f>
        <v>0</v>
      </c>
      <c r="D82" s="2"/>
      <c r="E82" s="259"/>
      <c r="F82" s="29">
        <f t="shared" si="1"/>
        <v>0</v>
      </c>
      <c r="G82" s="29">
        <f t="shared" si="4"/>
        <v>0</v>
      </c>
      <c r="H82" s="52">
        <f t="shared" si="2"/>
        <v>0</v>
      </c>
      <c r="I82" s="299"/>
      <c r="J82" s="22"/>
      <c r="K82" s="91"/>
      <c r="L82" s="101">
        <f t="shared" si="0"/>
        <v>0</v>
      </c>
      <c r="M82" s="102">
        <f t="shared" si="3"/>
        <v>0</v>
      </c>
      <c r="N82" s="183"/>
      <c r="O82" s="71"/>
      <c r="P82" s="22"/>
    </row>
    <row r="83" spans="2:16" ht="9.75">
      <c r="B83" s="16"/>
      <c r="C83" s="69">
        <f>IF(OR(C82=$F$8,C82=$F$42,C82=0),0,IF(C82=$F$42,0,IF(AND(COUPNCD(C82,$F$8,$F$10,1)&gt;$F$42,$F$42&lt;&gt;""),$F$42,(IF(C82=0,0,IF(C82=$F$8,0,COUPNCD(C82,$F$8,$F$10,1)))))))</f>
        <v>0</v>
      </c>
      <c r="D83" s="2"/>
      <c r="E83" s="259"/>
      <c r="F83" s="29">
        <f t="shared" si="1"/>
        <v>0</v>
      </c>
      <c r="G83" s="29">
        <f t="shared" si="4"/>
        <v>0</v>
      </c>
      <c r="H83" s="52">
        <f t="shared" si="2"/>
        <v>0</v>
      </c>
      <c r="I83" s="299"/>
      <c r="J83" s="22"/>
      <c r="K83" s="91"/>
      <c r="L83" s="101">
        <f t="shared" si="0"/>
        <v>0</v>
      </c>
      <c r="M83" s="102">
        <f t="shared" si="3"/>
        <v>0</v>
      </c>
      <c r="N83" s="183"/>
      <c r="O83" s="71"/>
      <c r="P83" s="22"/>
    </row>
    <row r="84" spans="2:16" ht="9.75">
      <c r="B84" s="16"/>
      <c r="C84" s="69">
        <f>IF(OR(C83=$F$8,C83=$F$42,C83=0),0,IF(C83=$F$42,0,IF(AND(COUPNCD(C83,$F$8,$F$10,1)&gt;$F$42,$F$42&lt;&gt;""),$F$42,(IF(C83=0,0,IF(C83=$F$8,0,COUPNCD(C83,$F$8,$F$10,1)))))))</f>
        <v>0</v>
      </c>
      <c r="D84" s="2"/>
      <c r="E84" s="259"/>
      <c r="F84" s="29">
        <f t="shared" si="1"/>
        <v>0</v>
      </c>
      <c r="G84" s="29">
        <f t="shared" si="4"/>
        <v>0</v>
      </c>
      <c r="H84" s="52">
        <f t="shared" si="2"/>
        <v>0</v>
      </c>
      <c r="I84" s="299"/>
      <c r="J84" s="22"/>
      <c r="K84" s="91"/>
      <c r="L84" s="101">
        <f t="shared" si="0"/>
        <v>0</v>
      </c>
      <c r="M84" s="102">
        <f t="shared" si="3"/>
        <v>0</v>
      </c>
      <c r="N84" s="183"/>
      <c r="O84" s="71"/>
      <c r="P84" s="22"/>
    </row>
    <row r="85" spans="2:16" ht="9.75">
      <c r="B85" s="16"/>
      <c r="C85" s="69">
        <f>IF(OR(C84=$F$8,C84=$F$42,C84=0),0,IF(C84=$F$42,0,IF(AND(COUPNCD(C84,$F$8,$F$10,1)&gt;$F$42,$F$42&lt;&gt;""),$F$42,(IF(C84=0,0,IF(C84=$F$8,0,COUPNCD(C84,$F$8,$F$10,1)))))))</f>
        <v>0</v>
      </c>
      <c r="D85" s="2"/>
      <c r="E85" s="259"/>
      <c r="F85" s="29">
        <f t="shared" si="1"/>
        <v>0</v>
      </c>
      <c r="G85" s="29">
        <f t="shared" si="4"/>
        <v>0</v>
      </c>
      <c r="H85" s="52">
        <f t="shared" si="2"/>
        <v>0</v>
      </c>
      <c r="I85" s="299"/>
      <c r="J85" s="22"/>
      <c r="K85" s="91"/>
      <c r="L85" s="101">
        <f t="shared" si="0"/>
        <v>0</v>
      </c>
      <c r="M85" s="102">
        <f t="shared" si="3"/>
        <v>0</v>
      </c>
      <c r="N85" s="183"/>
      <c r="O85" s="71"/>
      <c r="P85" s="22"/>
    </row>
    <row r="86" spans="2:16" ht="9.75">
      <c r="B86" s="16"/>
      <c r="C86" s="69">
        <f>IF(OR(C85=$F$8,C85=$F$42,C85=0),0,IF(C85=$F$42,0,IF(AND(COUPNCD(C85,$F$8,$F$10,1)&gt;$F$42,$F$42&lt;&gt;""),$F$42,(IF(C85=0,0,IF(C85=$F$8,0,COUPNCD(C85,$F$8,$F$10,1)))))))</f>
        <v>0</v>
      </c>
      <c r="D86" s="2"/>
      <c r="E86" s="259"/>
      <c r="F86" s="29">
        <f t="shared" si="1"/>
        <v>0</v>
      </c>
      <c r="G86" s="29">
        <f t="shared" si="4"/>
        <v>0</v>
      </c>
      <c r="H86" s="52">
        <f t="shared" si="2"/>
        <v>0</v>
      </c>
      <c r="I86" s="299"/>
      <c r="J86" s="22"/>
      <c r="K86" s="91"/>
      <c r="L86" s="101">
        <f t="shared" si="0"/>
        <v>0</v>
      </c>
      <c r="M86" s="102">
        <f t="shared" si="3"/>
        <v>0</v>
      </c>
      <c r="N86" s="183"/>
      <c r="O86" s="71"/>
      <c r="P86" s="22"/>
    </row>
    <row r="87" spans="2:16" ht="9.75">
      <c r="B87" s="16"/>
      <c r="C87" s="69">
        <f>IF(OR(C86=$F$8,C86=$F$42,C86=0),0,IF(C86=$F$42,0,IF(AND(COUPNCD(C86,$F$8,$F$10,1)&gt;$F$42,$F$42&lt;&gt;""),$F$42,(IF(C86=0,0,IF(C86=$F$8,0,COUPNCD(C86,$F$8,$F$10,1)))))))</f>
        <v>0</v>
      </c>
      <c r="D87" s="2"/>
      <c r="E87" s="259"/>
      <c r="F87" s="29">
        <f t="shared" si="1"/>
        <v>0</v>
      </c>
      <c r="G87" s="29">
        <f t="shared" si="4"/>
        <v>0</v>
      </c>
      <c r="H87" s="52">
        <f t="shared" si="2"/>
        <v>0</v>
      </c>
      <c r="I87" s="299"/>
      <c r="J87" s="22"/>
      <c r="K87" s="91"/>
      <c r="L87" s="101">
        <f t="shared" si="0"/>
        <v>0</v>
      </c>
      <c r="M87" s="102">
        <f t="shared" si="3"/>
        <v>0</v>
      </c>
      <c r="N87" s="183"/>
      <c r="O87" s="71"/>
      <c r="P87" s="22"/>
    </row>
    <row r="88" spans="2:16" ht="9.75">
      <c r="B88" s="16"/>
      <c r="C88" s="69">
        <f>IF(OR(C87=$F$8,C87=$F$42,C87=0),0,IF(C87=$F$42,0,IF(AND(COUPNCD(C87,$F$8,$F$10,1)&gt;$F$42,$F$42&lt;&gt;""),$F$42,(IF(C87=0,0,IF(C87=$F$8,0,COUPNCD(C87,$F$8,$F$10,1)))))))</f>
        <v>0</v>
      </c>
      <c r="D88" s="2"/>
      <c r="E88" s="259"/>
      <c r="F88" s="29">
        <f t="shared" si="1"/>
        <v>0</v>
      </c>
      <c r="G88" s="29">
        <f t="shared" si="4"/>
        <v>0</v>
      </c>
      <c r="H88" s="52">
        <f t="shared" si="2"/>
        <v>0</v>
      </c>
      <c r="I88" s="299"/>
      <c r="J88" s="22"/>
      <c r="K88" s="91"/>
      <c r="L88" s="101">
        <f t="shared" si="0"/>
        <v>0</v>
      </c>
      <c r="M88" s="102">
        <f t="shared" si="3"/>
        <v>0</v>
      </c>
      <c r="N88" s="183"/>
      <c r="O88" s="71"/>
      <c r="P88" s="22"/>
    </row>
    <row r="89" spans="2:16" ht="9.75">
      <c r="B89" s="16"/>
      <c r="C89" s="69">
        <f>IF(OR(C88=$F$8,C88=$F$42,C88=0),0,IF(C88=$F$42,0,IF(AND(COUPNCD(C88,$F$8,$F$10,1)&gt;$F$42,$F$42&lt;&gt;""),$F$42,(IF(C88=0,0,IF(C88=$F$8,0,COUPNCD(C88,$F$8,$F$10,1)))))))</f>
        <v>0</v>
      </c>
      <c r="D89" s="2"/>
      <c r="E89" s="259"/>
      <c r="F89" s="29">
        <f t="shared" si="1"/>
        <v>0</v>
      </c>
      <c r="G89" s="29">
        <f t="shared" si="4"/>
        <v>0</v>
      </c>
      <c r="H89" s="52">
        <f t="shared" si="2"/>
        <v>0</v>
      </c>
      <c r="I89" s="299"/>
      <c r="J89" s="22"/>
      <c r="K89" s="91"/>
      <c r="L89" s="101">
        <f t="shared" si="0"/>
        <v>0</v>
      </c>
      <c r="M89" s="102">
        <f t="shared" si="3"/>
        <v>0</v>
      </c>
      <c r="N89" s="183"/>
      <c r="O89" s="71"/>
      <c r="P89" s="22"/>
    </row>
    <row r="90" spans="2:16" ht="9.75">
      <c r="B90" s="16"/>
      <c r="C90" s="69">
        <f>IF(OR(C89=$F$8,C89=$F$42,C89=0),0,IF(C89=$F$42,0,IF(AND(COUPNCD(C89,$F$8,$F$10,1)&gt;$F$42,$F$42&lt;&gt;""),$F$42,(IF(C89=0,0,IF(C89=$F$8,0,COUPNCD(C89,$F$8,$F$10,1)))))))</f>
        <v>0</v>
      </c>
      <c r="D90" s="2"/>
      <c r="E90" s="259"/>
      <c r="F90" s="29">
        <f t="shared" si="1"/>
        <v>0</v>
      </c>
      <c r="G90" s="29">
        <f t="shared" si="4"/>
        <v>0</v>
      </c>
      <c r="H90" s="52">
        <f t="shared" si="2"/>
        <v>0</v>
      </c>
      <c r="I90" s="299"/>
      <c r="J90" s="22"/>
      <c r="K90" s="91"/>
      <c r="L90" s="101">
        <f t="shared" si="0"/>
        <v>0</v>
      </c>
      <c r="M90" s="102">
        <f t="shared" si="3"/>
        <v>0</v>
      </c>
      <c r="N90" s="183"/>
      <c r="O90" s="71"/>
      <c r="P90" s="22"/>
    </row>
    <row r="91" spans="2:16" ht="9.75">
      <c r="B91" s="16"/>
      <c r="C91" s="69">
        <f>IF(OR(C90=$F$8,C90=$F$42,C90=0),0,IF(C90=$F$42,0,IF(AND(COUPNCD(C90,$F$8,$F$10,1)&gt;$F$42,$F$42&lt;&gt;""),$F$42,(IF(C90=0,0,IF(C90=$F$8,0,COUPNCD(C90,$F$8,$F$10,1)))))))</f>
        <v>0</v>
      </c>
      <c r="D91" s="2"/>
      <c r="E91" s="259"/>
      <c r="F91" s="29">
        <f t="shared" si="1"/>
        <v>0</v>
      </c>
      <c r="G91" s="29">
        <f t="shared" si="4"/>
        <v>0</v>
      </c>
      <c r="H91" s="52">
        <f t="shared" si="2"/>
        <v>0</v>
      </c>
      <c r="I91" s="299"/>
      <c r="J91" s="22"/>
      <c r="K91" s="91"/>
      <c r="L91" s="101">
        <f t="shared" si="0"/>
        <v>0</v>
      </c>
      <c r="M91" s="102">
        <f t="shared" si="3"/>
        <v>0</v>
      </c>
      <c r="N91" s="183"/>
      <c r="O91" s="71"/>
      <c r="P91" s="22"/>
    </row>
    <row r="92" spans="2:16" ht="9.75">
      <c r="B92" s="16"/>
      <c r="C92" s="69">
        <f>IF(OR(C91=$F$8,C91=$F$42,C91=0),0,IF(C91=$F$42,0,IF(AND(COUPNCD(C91,$F$8,$F$10,1)&gt;$F$42,$F$42&lt;&gt;""),$F$42,(IF(C91=0,0,IF(C91=$F$8,0,COUPNCD(C91,$F$8,$F$10,1)))))))</f>
        <v>0</v>
      </c>
      <c r="D92" s="2"/>
      <c r="E92" s="259"/>
      <c r="F92" s="29">
        <f t="shared" si="1"/>
        <v>0</v>
      </c>
      <c r="G92" s="29">
        <f t="shared" si="4"/>
        <v>0</v>
      </c>
      <c r="H92" s="52">
        <f t="shared" si="2"/>
        <v>0</v>
      </c>
      <c r="I92" s="299"/>
      <c r="J92" s="22"/>
      <c r="K92" s="91"/>
      <c r="L92" s="101">
        <f t="shared" si="0"/>
        <v>0</v>
      </c>
      <c r="M92" s="102">
        <f t="shared" si="3"/>
        <v>0</v>
      </c>
      <c r="N92" s="183"/>
      <c r="O92" s="71"/>
      <c r="P92" s="22"/>
    </row>
    <row r="93" spans="2:16" ht="9.75">
      <c r="B93" s="16"/>
      <c r="C93" s="69">
        <f>IF(OR(C92=$F$8,C92=$F$42,C92=0),0,IF(C92=$F$42,0,IF(AND(COUPNCD(C92,$F$8,$F$10,1)&gt;$F$42,$F$42&lt;&gt;""),$F$42,(IF(C92=0,0,IF(C92=$F$8,0,COUPNCD(C92,$F$8,$F$10,1)))))))</f>
        <v>0</v>
      </c>
      <c r="D93" s="2"/>
      <c r="E93" s="259"/>
      <c r="F93" s="29">
        <f t="shared" si="1"/>
        <v>0</v>
      </c>
      <c r="G93" s="29">
        <f t="shared" si="4"/>
        <v>0</v>
      </c>
      <c r="H93" s="52">
        <f t="shared" si="2"/>
        <v>0</v>
      </c>
      <c r="I93" s="299"/>
      <c r="J93" s="22"/>
      <c r="K93" s="91"/>
      <c r="L93" s="101">
        <f t="shared" si="0"/>
        <v>0</v>
      </c>
      <c r="M93" s="102">
        <f t="shared" si="3"/>
        <v>0</v>
      </c>
      <c r="N93" s="183"/>
      <c r="O93" s="71"/>
      <c r="P93" s="22"/>
    </row>
    <row r="94" spans="2:16" ht="9.75">
      <c r="B94" s="16"/>
      <c r="C94" s="69">
        <f>IF(OR(C93=$F$8,C93=$F$42,C93=0),0,IF(C93=$F$42,0,IF(AND(COUPNCD(C93,$F$8,$F$10,1)&gt;$F$42,$F$42&lt;&gt;""),$F$42,(IF(C93=0,0,IF(C93=$F$8,0,COUPNCD(C93,$F$8,$F$10,1)))))))</f>
        <v>0</v>
      </c>
      <c r="D94" s="2"/>
      <c r="E94" s="259"/>
      <c r="F94" s="29">
        <f t="shared" si="1"/>
        <v>0</v>
      </c>
      <c r="G94" s="29">
        <f t="shared" si="4"/>
        <v>0</v>
      </c>
      <c r="H94" s="52">
        <f t="shared" si="2"/>
        <v>0</v>
      </c>
      <c r="I94" s="299"/>
      <c r="J94" s="22"/>
      <c r="K94" s="91"/>
      <c r="L94" s="101">
        <f t="shared" si="0"/>
        <v>0</v>
      </c>
      <c r="M94" s="102">
        <f t="shared" si="3"/>
        <v>0</v>
      </c>
      <c r="N94" s="183"/>
      <c r="O94" s="71"/>
      <c r="P94" s="22"/>
    </row>
    <row r="95" spans="2:16" ht="9.75">
      <c r="B95" s="16"/>
      <c r="C95" s="69">
        <f>IF(OR(C94=$F$8,C94=$F$42,C94=0),0,IF(C94=$F$42,0,IF(AND(COUPNCD(C94,$F$8,$F$10,1)&gt;$F$42,$F$42&lt;&gt;""),$F$42,(IF(C94=0,0,IF(C94=$F$8,0,COUPNCD(C94,$F$8,$F$10,1)))))))</f>
        <v>0</v>
      </c>
      <c r="D95" s="2"/>
      <c r="E95" s="259"/>
      <c r="F95" s="29">
        <f t="shared" si="1"/>
        <v>0</v>
      </c>
      <c r="G95" s="29">
        <f t="shared" si="4"/>
        <v>0</v>
      </c>
      <c r="H95" s="52">
        <f t="shared" si="2"/>
        <v>0</v>
      </c>
      <c r="I95" s="299"/>
      <c r="J95" s="22"/>
      <c r="K95" s="103"/>
      <c r="L95" s="101">
        <f aca="true" t="shared" si="5" ref="L95:L123">C95</f>
        <v>0</v>
      </c>
      <c r="M95" s="102">
        <f t="shared" si="3"/>
        <v>0</v>
      </c>
      <c r="N95" s="183"/>
      <c r="O95" s="71"/>
      <c r="P95" s="22"/>
    </row>
    <row r="96" spans="2:16" ht="9.75">
      <c r="B96" s="16"/>
      <c r="C96" s="69">
        <f>IF(OR(C95=$F$8,C95=$F$42,C95=0),0,IF(C95=$F$42,0,IF(AND(COUPNCD(C95,$F$8,$F$10,1)&gt;$F$42,$F$42&lt;&gt;""),$F$42,(IF(C95=0,0,IF(C95=$F$8,0,COUPNCD(C95,$F$8,$F$10,1)))))))</f>
        <v>0</v>
      </c>
      <c r="D96" s="2"/>
      <c r="E96" s="259"/>
      <c r="F96" s="29">
        <f t="shared" si="1"/>
        <v>0</v>
      </c>
      <c r="G96" s="29">
        <f t="shared" si="4"/>
        <v>0</v>
      </c>
      <c r="H96" s="52">
        <f aca="true" t="shared" si="6" ref="H96:H123">IF(AND(C96=0,G96=0),0,IF(AND(C96=$F$8,$F$42=""),G96*100+$F$32,IF(AND(C96&lt;$F$8,$F$42=""),G96*100,IF(C96=$F$42,$F$54+G96*100,G96*100))))</f>
        <v>0</v>
      </c>
      <c r="I96" s="299"/>
      <c r="J96" s="22"/>
      <c r="K96" s="91"/>
      <c r="L96" s="101">
        <f t="shared" si="5"/>
        <v>0</v>
      </c>
      <c r="M96" s="102">
        <f aca="true" t="shared" si="7" ref="M96:M123">IF(L96=0,0,IF(OR(L96=$F$42,L96=$F$8),$M$54,H96*$M$16/100-$M$41))</f>
        <v>0</v>
      </c>
      <c r="N96" s="183"/>
      <c r="O96" s="71"/>
      <c r="P96" s="22"/>
    </row>
    <row r="97" spans="2:16" ht="9.75">
      <c r="B97" s="16"/>
      <c r="C97" s="69">
        <f>IF(OR(C96=$F$8,C96=$F$42,C96=0),0,IF(C96=$F$42,0,IF(AND(COUPNCD(C96,$F$8,$F$10,1)&gt;$F$42,$F$42&lt;&gt;""),$F$42,(IF(C96=0,0,IF(C96=$F$8,0,COUPNCD(C96,$F$8,$F$10,1)))))))</f>
        <v>0</v>
      </c>
      <c r="D97" s="2"/>
      <c r="E97" s="259"/>
      <c r="F97" s="29">
        <f t="shared" si="1"/>
        <v>0</v>
      </c>
      <c r="G97" s="29">
        <f t="shared" si="4"/>
        <v>0</v>
      </c>
      <c r="H97" s="52">
        <f t="shared" si="6"/>
        <v>0</v>
      </c>
      <c r="I97" s="299"/>
      <c r="J97" s="22"/>
      <c r="K97" s="91"/>
      <c r="L97" s="101">
        <f t="shared" si="5"/>
        <v>0</v>
      </c>
      <c r="M97" s="102">
        <f t="shared" si="7"/>
        <v>0</v>
      </c>
      <c r="N97" s="183"/>
      <c r="O97" s="71"/>
      <c r="P97" s="22"/>
    </row>
    <row r="98" spans="2:16" ht="9.75">
      <c r="B98" s="16"/>
      <c r="C98" s="69">
        <f>IF(OR(C97=$F$8,C97=$F$42,C97=0),0,IF(C97=$F$42,0,IF(AND(COUPNCD(C97,$F$8,$F$10,1)&gt;$F$42,$F$42&lt;&gt;""),$F$42,(IF(C97=0,0,IF(C97=$F$8,0,COUPNCD(C97,$F$8,$F$10,1)))))))</f>
        <v>0</v>
      </c>
      <c r="D98" s="2"/>
      <c r="E98" s="259"/>
      <c r="F98" s="29">
        <f t="shared" si="1"/>
        <v>0</v>
      </c>
      <c r="G98" s="29">
        <f t="shared" si="4"/>
        <v>0</v>
      </c>
      <c r="H98" s="52">
        <f t="shared" si="6"/>
        <v>0</v>
      </c>
      <c r="I98" s="299"/>
      <c r="J98" s="22"/>
      <c r="K98" s="91"/>
      <c r="L98" s="101">
        <f t="shared" si="5"/>
        <v>0</v>
      </c>
      <c r="M98" s="102">
        <f t="shared" si="7"/>
        <v>0</v>
      </c>
      <c r="N98" s="183"/>
      <c r="O98" s="71"/>
      <c r="P98" s="22"/>
    </row>
    <row r="99" spans="2:16" ht="9.75">
      <c r="B99" s="16"/>
      <c r="C99" s="69">
        <f>IF(OR(C98=$F$8,C98=$F$42,C98=0),0,IF(C98=$F$42,0,IF(AND(COUPNCD(C98,$F$8,$F$10,1)&gt;$F$42,$F$42&lt;&gt;""),$F$42,(IF(C98=0,0,IF(C98=$F$8,0,COUPNCD(C98,$F$8,$F$10,1)))))))</f>
        <v>0</v>
      </c>
      <c r="D99" s="2"/>
      <c r="E99" s="259"/>
      <c r="F99" s="29">
        <f t="shared" si="1"/>
        <v>0</v>
      </c>
      <c r="G99" s="29">
        <f t="shared" si="4"/>
        <v>0</v>
      </c>
      <c r="H99" s="52">
        <f t="shared" si="6"/>
        <v>0</v>
      </c>
      <c r="I99" s="299"/>
      <c r="J99" s="22"/>
      <c r="K99" s="91"/>
      <c r="L99" s="101">
        <f t="shared" si="5"/>
        <v>0</v>
      </c>
      <c r="M99" s="102">
        <f t="shared" si="7"/>
        <v>0</v>
      </c>
      <c r="N99" s="183"/>
      <c r="O99" s="71"/>
      <c r="P99" s="22"/>
    </row>
    <row r="100" spans="2:16" ht="9.75">
      <c r="B100" s="16"/>
      <c r="C100" s="69">
        <f>IF(OR(C99=$F$8,C99=$F$42,C99=0),0,IF(C99=$F$42,0,IF(AND(COUPNCD(C99,$F$8,$F$10,1)&gt;$F$42,$F$42&lt;&gt;""),$F$42,(IF(C99=0,0,IF(C99=$F$8,0,COUPNCD(C99,$F$8,$F$10,1)))))))</f>
        <v>0</v>
      </c>
      <c r="D100" s="2"/>
      <c r="E100" s="259"/>
      <c r="F100" s="29">
        <f t="shared" si="1"/>
        <v>0</v>
      </c>
      <c r="G100" s="29">
        <f t="shared" si="4"/>
        <v>0</v>
      </c>
      <c r="H100" s="52">
        <f t="shared" si="6"/>
        <v>0</v>
      </c>
      <c r="I100" s="299"/>
      <c r="J100" s="22"/>
      <c r="K100" s="91"/>
      <c r="L100" s="101">
        <f t="shared" si="5"/>
        <v>0</v>
      </c>
      <c r="M100" s="102">
        <f t="shared" si="7"/>
        <v>0</v>
      </c>
      <c r="N100" s="183"/>
      <c r="O100" s="71"/>
      <c r="P100" s="22"/>
    </row>
    <row r="101" spans="2:16" ht="9.75">
      <c r="B101" s="16"/>
      <c r="C101" s="69">
        <f>IF(OR(C100=$F$8,C100=$F$42,C100=0),0,IF(C100=$F$42,0,IF(AND(COUPNCD(C100,$F$8,$F$10,1)&gt;$F$42,$F$42&lt;&gt;""),$F$42,(IF(C100=0,0,IF(C100=$F$8,0,COUPNCD(C100,$F$8,$F$10,1)))))))</f>
        <v>0</v>
      </c>
      <c r="D101" s="2"/>
      <c r="E101" s="259"/>
      <c r="F101" s="29">
        <f t="shared" si="1"/>
        <v>0</v>
      </c>
      <c r="G101" s="29">
        <f t="shared" si="4"/>
        <v>0</v>
      </c>
      <c r="H101" s="52">
        <f t="shared" si="6"/>
        <v>0</v>
      </c>
      <c r="I101" s="299"/>
      <c r="J101" s="22"/>
      <c r="K101" s="91"/>
      <c r="L101" s="101">
        <f t="shared" si="5"/>
        <v>0</v>
      </c>
      <c r="M101" s="102">
        <f t="shared" si="7"/>
        <v>0</v>
      </c>
      <c r="N101" s="183"/>
      <c r="O101" s="71"/>
      <c r="P101" s="22"/>
    </row>
    <row r="102" spans="2:16" ht="9.75">
      <c r="B102" s="16"/>
      <c r="C102" s="69">
        <f>IF(OR(C101=$F$8,C101=$F$42,C101=0),0,IF(C101=$F$42,0,IF(AND(COUPNCD(C101,$F$8,$F$10,1)&gt;$F$42,$F$42&lt;&gt;""),$F$42,(IF(C101=0,0,IF(C101=$F$8,0,COUPNCD(C101,$F$8,$F$10,1)))))))</f>
        <v>0</v>
      </c>
      <c r="D102" s="2"/>
      <c r="E102" s="259"/>
      <c r="F102" s="29">
        <f t="shared" si="1"/>
        <v>0</v>
      </c>
      <c r="G102" s="29">
        <f t="shared" si="4"/>
        <v>0</v>
      </c>
      <c r="H102" s="52">
        <f t="shared" si="6"/>
        <v>0</v>
      </c>
      <c r="I102" s="299"/>
      <c r="J102" s="22"/>
      <c r="K102" s="91"/>
      <c r="L102" s="101">
        <f t="shared" si="5"/>
        <v>0</v>
      </c>
      <c r="M102" s="102">
        <f t="shared" si="7"/>
        <v>0</v>
      </c>
      <c r="N102" s="183"/>
      <c r="O102" s="71"/>
      <c r="P102" s="22"/>
    </row>
    <row r="103" spans="2:16" ht="9.75">
      <c r="B103" s="16"/>
      <c r="C103" s="69">
        <f>IF(OR(C102=$F$8,C102=$F$42,C102=0),0,IF(C102=$F$42,0,IF(AND(COUPNCD(C102,$F$8,$F$10,1)&gt;$F$42,$F$42&lt;&gt;""),$F$42,(IF(C102=0,0,IF(C102=$F$8,0,COUPNCD(C102,$F$8,$F$10,1)))))))</f>
        <v>0</v>
      </c>
      <c r="D103" s="2"/>
      <c r="E103" s="259"/>
      <c r="F103" s="29">
        <f t="shared" si="1"/>
        <v>0</v>
      </c>
      <c r="G103" s="29">
        <f t="shared" si="4"/>
        <v>0</v>
      </c>
      <c r="H103" s="52">
        <f t="shared" si="6"/>
        <v>0</v>
      </c>
      <c r="I103" s="299"/>
      <c r="J103" s="22"/>
      <c r="K103" s="91"/>
      <c r="L103" s="101">
        <f t="shared" si="5"/>
        <v>0</v>
      </c>
      <c r="M103" s="102">
        <f t="shared" si="7"/>
        <v>0</v>
      </c>
      <c r="N103" s="183"/>
      <c r="O103" s="71"/>
      <c r="P103" s="22"/>
    </row>
    <row r="104" spans="2:16" ht="9.75">
      <c r="B104" s="16"/>
      <c r="C104" s="69">
        <f>IF(OR(C103=$F$8,C103=$F$42,C103=0),0,IF(C103=$F$42,0,IF(AND(COUPNCD(C103,$F$8,$F$10,1)&gt;$F$42,$F$42&lt;&gt;""),$F$42,(IF(C103=0,0,IF(C103=$F$8,0,COUPNCD(C103,$F$8,$F$10,1)))))))</f>
        <v>0</v>
      </c>
      <c r="D104" s="2"/>
      <c r="E104" s="259"/>
      <c r="F104" s="29">
        <f t="shared" si="1"/>
        <v>0</v>
      </c>
      <c r="G104" s="29">
        <f t="shared" si="4"/>
        <v>0</v>
      </c>
      <c r="H104" s="52">
        <f t="shared" si="6"/>
        <v>0</v>
      </c>
      <c r="I104" s="299"/>
      <c r="J104" s="22"/>
      <c r="K104" s="91"/>
      <c r="L104" s="101">
        <f t="shared" si="5"/>
        <v>0</v>
      </c>
      <c r="M104" s="102">
        <f t="shared" si="7"/>
        <v>0</v>
      </c>
      <c r="N104" s="183"/>
      <c r="O104" s="71"/>
      <c r="P104" s="22"/>
    </row>
    <row r="105" spans="2:16" ht="9.75">
      <c r="B105" s="16"/>
      <c r="C105" s="69">
        <f>IF(OR(C104=$F$8,C104=$F$42,C104=0),0,IF(C104=$F$42,0,IF(AND(COUPNCD(C104,$F$8,$F$10,1)&gt;$F$42,$F$42&lt;&gt;""),$F$42,(IF(C104=0,0,IF(C104=$F$8,0,COUPNCD(C104,$F$8,$F$10,1)))))))</f>
        <v>0</v>
      </c>
      <c r="D105" s="2"/>
      <c r="E105" s="259"/>
      <c r="F105" s="29">
        <f t="shared" si="1"/>
        <v>0</v>
      </c>
      <c r="G105" s="29">
        <f t="shared" si="4"/>
        <v>0</v>
      </c>
      <c r="H105" s="52">
        <f t="shared" si="6"/>
        <v>0</v>
      </c>
      <c r="I105" s="299"/>
      <c r="J105" s="22"/>
      <c r="K105" s="91"/>
      <c r="L105" s="101">
        <f t="shared" si="5"/>
        <v>0</v>
      </c>
      <c r="M105" s="102">
        <f t="shared" si="7"/>
        <v>0</v>
      </c>
      <c r="N105" s="183"/>
      <c r="O105" s="71"/>
      <c r="P105" s="22"/>
    </row>
    <row r="106" spans="2:16" ht="9.75">
      <c r="B106" s="16"/>
      <c r="C106" s="69">
        <f>IF(OR(C105=$F$8,C105=$F$42,C105=0),0,IF(C105=$F$42,0,IF(AND(COUPNCD(C105,$F$8,$F$10,1)&gt;$F$42,$F$42&lt;&gt;""),$F$42,(IF(C105=0,0,IF(C105=$F$8,0,COUPNCD(C105,$F$8,$F$10,1)))))))</f>
        <v>0</v>
      </c>
      <c r="D106" s="2"/>
      <c r="E106" s="259"/>
      <c r="F106" s="29">
        <f t="shared" si="1"/>
        <v>0</v>
      </c>
      <c r="G106" s="29">
        <f t="shared" si="4"/>
        <v>0</v>
      </c>
      <c r="H106" s="52">
        <f t="shared" si="6"/>
        <v>0</v>
      </c>
      <c r="I106" s="299"/>
      <c r="J106" s="22"/>
      <c r="K106" s="91"/>
      <c r="L106" s="101">
        <f t="shared" si="5"/>
        <v>0</v>
      </c>
      <c r="M106" s="102">
        <f t="shared" si="7"/>
        <v>0</v>
      </c>
      <c r="N106" s="183"/>
      <c r="O106" s="71"/>
      <c r="P106" s="22"/>
    </row>
    <row r="107" spans="2:16" ht="9.75">
      <c r="B107" s="16"/>
      <c r="C107" s="69">
        <f>IF(OR(C106=$F$8,C106=$F$42,C106=0),0,IF(C106=$F$42,0,IF(AND(COUPNCD(C106,$F$8,$F$10,1)&gt;$F$42,$F$42&lt;&gt;""),$F$42,(IF(C106=0,0,IF(C106=$F$8,0,COUPNCD(C106,$F$8,$F$10,1)))))))</f>
        <v>0</v>
      </c>
      <c r="D107" s="2"/>
      <c r="E107" s="259"/>
      <c r="F107" s="29">
        <f t="shared" si="1"/>
        <v>0</v>
      </c>
      <c r="G107" s="29">
        <f t="shared" si="4"/>
        <v>0</v>
      </c>
      <c r="H107" s="52">
        <f t="shared" si="6"/>
        <v>0</v>
      </c>
      <c r="I107" s="299"/>
      <c r="J107" s="22"/>
      <c r="K107" s="91"/>
      <c r="L107" s="101">
        <f t="shared" si="5"/>
        <v>0</v>
      </c>
      <c r="M107" s="102">
        <f t="shared" si="7"/>
        <v>0</v>
      </c>
      <c r="N107" s="183"/>
      <c r="O107" s="71"/>
      <c r="P107" s="22"/>
    </row>
    <row r="108" spans="2:16" ht="9.75">
      <c r="B108" s="16"/>
      <c r="C108" s="69">
        <f>IF(OR(C107=$F$8,C107=$F$42,C107=0),0,IF(C107=$F$42,0,IF(AND(COUPNCD(C107,$F$8,$F$10,1)&gt;$F$42,$F$42&lt;&gt;""),$F$42,(IF(C107=0,0,IF(C107=$F$8,0,COUPNCD(C107,$F$8,$F$10,1)))))))</f>
        <v>0</v>
      </c>
      <c r="D108" s="2"/>
      <c r="E108" s="259"/>
      <c r="F108" s="29">
        <f t="shared" si="1"/>
        <v>0</v>
      </c>
      <c r="G108" s="29">
        <f t="shared" si="4"/>
        <v>0</v>
      </c>
      <c r="H108" s="52">
        <f t="shared" si="6"/>
        <v>0</v>
      </c>
      <c r="I108" s="299"/>
      <c r="J108" s="22"/>
      <c r="K108" s="91"/>
      <c r="L108" s="101">
        <f t="shared" si="5"/>
        <v>0</v>
      </c>
      <c r="M108" s="102">
        <f t="shared" si="7"/>
        <v>0</v>
      </c>
      <c r="N108" s="183"/>
      <c r="O108" s="71"/>
      <c r="P108" s="22"/>
    </row>
    <row r="109" spans="2:16" ht="9.75">
      <c r="B109" s="16"/>
      <c r="C109" s="69">
        <f>IF(OR(C108=$F$8,C108=$F$42,C108=0),0,IF(C108=$F$42,0,IF(AND(COUPNCD(C108,$F$8,$F$10,1)&gt;$F$42,$F$42&lt;&gt;""),$F$42,(IF(C108=0,0,IF(C108=$F$8,0,COUPNCD(C108,$F$8,$F$10,1)))))))</f>
        <v>0</v>
      </c>
      <c r="D109" s="2"/>
      <c r="E109" s="259"/>
      <c r="F109" s="29">
        <f t="shared" si="1"/>
        <v>0</v>
      </c>
      <c r="G109" s="29">
        <f t="shared" si="4"/>
        <v>0</v>
      </c>
      <c r="H109" s="52">
        <f t="shared" si="6"/>
        <v>0</v>
      </c>
      <c r="I109" s="299"/>
      <c r="J109" s="22"/>
      <c r="K109" s="91"/>
      <c r="L109" s="101">
        <f t="shared" si="5"/>
        <v>0</v>
      </c>
      <c r="M109" s="102">
        <f t="shared" si="7"/>
        <v>0</v>
      </c>
      <c r="N109" s="183"/>
      <c r="O109" s="71"/>
      <c r="P109" s="22"/>
    </row>
    <row r="110" spans="2:16" ht="9.75">
      <c r="B110" s="16"/>
      <c r="C110" s="69">
        <f>IF(OR(C109=$F$8,C109=$F$42,C109=0),0,IF(C109=$F$42,0,IF(AND(COUPNCD(C109,$F$8,$F$10,1)&gt;$F$42,$F$42&lt;&gt;""),$F$42,(IF(C109=0,0,IF(C109=$F$8,0,COUPNCD(C109,$F$8,$F$10,1)))))))</f>
        <v>0</v>
      </c>
      <c r="D110" s="2"/>
      <c r="E110" s="259"/>
      <c r="F110" s="29">
        <f t="shared" si="1"/>
        <v>0</v>
      </c>
      <c r="G110" s="29">
        <f t="shared" si="4"/>
        <v>0</v>
      </c>
      <c r="H110" s="52">
        <f t="shared" si="6"/>
        <v>0</v>
      </c>
      <c r="I110" s="299"/>
      <c r="J110" s="22"/>
      <c r="K110" s="91"/>
      <c r="L110" s="101">
        <f t="shared" si="5"/>
        <v>0</v>
      </c>
      <c r="M110" s="102">
        <f t="shared" si="7"/>
        <v>0</v>
      </c>
      <c r="N110" s="183"/>
      <c r="O110" s="71"/>
      <c r="P110" s="22"/>
    </row>
    <row r="111" spans="2:16" ht="9.75">
      <c r="B111" s="16"/>
      <c r="C111" s="69">
        <f>IF(OR(C110=$F$8,C110=$F$42,C110=0),0,IF(C110=$F$42,0,IF(AND(COUPNCD(C110,$F$8,$F$10,1)&gt;$F$42,$F$42&lt;&gt;""),$F$42,(IF(C110=0,0,IF(C110=$F$8,0,COUPNCD(C110,$F$8,$F$10,1)))))))</f>
        <v>0</v>
      </c>
      <c r="D111" s="2"/>
      <c r="E111" s="259"/>
      <c r="F111" s="29">
        <f t="shared" si="1"/>
        <v>0</v>
      </c>
      <c r="G111" s="29">
        <f t="shared" si="4"/>
        <v>0</v>
      </c>
      <c r="H111" s="52">
        <f t="shared" si="6"/>
        <v>0</v>
      </c>
      <c r="I111" s="299"/>
      <c r="J111" s="22"/>
      <c r="K111" s="91"/>
      <c r="L111" s="101">
        <f t="shared" si="5"/>
        <v>0</v>
      </c>
      <c r="M111" s="102">
        <f t="shared" si="7"/>
        <v>0</v>
      </c>
      <c r="N111" s="183"/>
      <c r="O111" s="71"/>
      <c r="P111" s="22"/>
    </row>
    <row r="112" spans="2:16" ht="9.75">
      <c r="B112" s="16"/>
      <c r="C112" s="69">
        <f>IF(OR(C111=$F$8,C111=$F$42,C111=0),0,IF(C111=$F$42,0,IF(AND(COUPNCD(C111,$F$8,$F$10,1)&gt;$F$42,$F$42&lt;&gt;""),$F$42,(IF(C111=0,0,IF(C111=$F$8,0,COUPNCD(C111,$F$8,$F$10,1)))))))</f>
        <v>0</v>
      </c>
      <c r="D112" s="2"/>
      <c r="E112" s="259"/>
      <c r="F112" s="29">
        <f t="shared" si="1"/>
        <v>0</v>
      </c>
      <c r="G112" s="29">
        <f t="shared" si="4"/>
        <v>0</v>
      </c>
      <c r="H112" s="52">
        <f t="shared" si="6"/>
        <v>0</v>
      </c>
      <c r="I112" s="299"/>
      <c r="J112" s="22"/>
      <c r="K112" s="91"/>
      <c r="L112" s="101">
        <f t="shared" si="5"/>
        <v>0</v>
      </c>
      <c r="M112" s="102">
        <f t="shared" si="7"/>
        <v>0</v>
      </c>
      <c r="N112" s="183"/>
      <c r="O112" s="71"/>
      <c r="P112" s="22"/>
    </row>
    <row r="113" spans="2:16" ht="9.75">
      <c r="B113" s="16"/>
      <c r="C113" s="69">
        <f>IF(OR(C112=$F$8,C112=$F$42,C112=0),0,IF(C112=$F$42,0,IF(AND(COUPNCD(C112,$F$8,$F$10,1)&gt;$F$42,$F$42&lt;&gt;""),$F$42,(IF(C112=0,0,IF(C112=$F$8,0,COUPNCD(C112,$F$8,$F$10,1)))))))</f>
        <v>0</v>
      </c>
      <c r="D113" s="2"/>
      <c r="E113" s="259"/>
      <c r="F113" s="29">
        <f t="shared" si="1"/>
        <v>0</v>
      </c>
      <c r="G113" s="29">
        <f t="shared" si="4"/>
        <v>0</v>
      </c>
      <c r="H113" s="52">
        <f t="shared" si="6"/>
        <v>0</v>
      </c>
      <c r="I113" s="299"/>
      <c r="J113" s="22"/>
      <c r="K113" s="91"/>
      <c r="L113" s="101">
        <f t="shared" si="5"/>
        <v>0</v>
      </c>
      <c r="M113" s="102">
        <f t="shared" si="7"/>
        <v>0</v>
      </c>
      <c r="N113" s="183"/>
      <c r="O113" s="71"/>
      <c r="P113" s="22"/>
    </row>
    <row r="114" spans="2:16" ht="9.75">
      <c r="B114" s="16"/>
      <c r="C114" s="69">
        <f>IF(OR(C113=$F$8,C113=$F$42,C113=0),0,IF(C113=$F$42,0,IF(AND(COUPNCD(C113,$F$8,$F$10,1)&gt;$F$42,$F$42&lt;&gt;""),$F$42,(IF(C113=0,0,IF(C113=$F$8,0,COUPNCD(C113,$F$8,$F$10,1)))))))</f>
        <v>0</v>
      </c>
      <c r="D114" s="2"/>
      <c r="E114" s="259"/>
      <c r="F114" s="29">
        <f t="shared" si="1"/>
        <v>0</v>
      </c>
      <c r="G114" s="29">
        <f t="shared" si="4"/>
        <v>0</v>
      </c>
      <c r="H114" s="52">
        <f t="shared" si="6"/>
        <v>0</v>
      </c>
      <c r="I114" s="299"/>
      <c r="J114" s="22"/>
      <c r="K114" s="91"/>
      <c r="L114" s="101">
        <f t="shared" si="5"/>
        <v>0</v>
      </c>
      <c r="M114" s="102">
        <f t="shared" si="7"/>
        <v>0</v>
      </c>
      <c r="N114" s="183"/>
      <c r="O114" s="71"/>
      <c r="P114" s="22"/>
    </row>
    <row r="115" spans="2:16" ht="9.75">
      <c r="B115" s="16"/>
      <c r="C115" s="69">
        <f>IF(OR(C114=$F$8,C114=$F$42,C114=0),0,IF(C114=$F$42,0,IF(AND(COUPNCD(C114,$F$8,$F$10,1)&gt;$F$42,$F$42&lt;&gt;""),$F$42,(IF(C114=0,0,IF(C114=$F$8,0,COUPNCD(C114,$F$8,$F$10,1)))))))</f>
        <v>0</v>
      </c>
      <c r="D115" s="2"/>
      <c r="E115" s="259"/>
      <c r="F115" s="29">
        <f t="shared" si="1"/>
        <v>0</v>
      </c>
      <c r="G115" s="29">
        <f t="shared" si="4"/>
        <v>0</v>
      </c>
      <c r="H115" s="52">
        <f t="shared" si="6"/>
        <v>0</v>
      </c>
      <c r="I115" s="299"/>
      <c r="J115" s="22"/>
      <c r="K115" s="91"/>
      <c r="L115" s="101">
        <f t="shared" si="5"/>
        <v>0</v>
      </c>
      <c r="M115" s="102">
        <f t="shared" si="7"/>
        <v>0</v>
      </c>
      <c r="N115" s="183"/>
      <c r="O115" s="71"/>
      <c r="P115" s="22"/>
    </row>
    <row r="116" spans="2:16" ht="9.75">
      <c r="B116" s="16"/>
      <c r="C116" s="69">
        <f>IF(OR(C115=$F$8,C115=$F$42,C115=0),0,IF(C115=$F$42,0,IF(AND(COUPNCD(C115,$F$8,$F$10,1)&gt;$F$42,$F$42&lt;&gt;""),$F$42,(IF(C115=0,0,IF(C115=$F$8,0,COUPNCD(C115,$F$8,$F$10,1)))))))</f>
        <v>0</v>
      </c>
      <c r="D116" s="2"/>
      <c r="E116" s="259"/>
      <c r="F116" s="29">
        <f t="shared" si="1"/>
        <v>0</v>
      </c>
      <c r="G116" s="29">
        <f t="shared" si="4"/>
        <v>0</v>
      </c>
      <c r="H116" s="52">
        <f t="shared" si="6"/>
        <v>0</v>
      </c>
      <c r="I116" s="299"/>
      <c r="J116" s="22"/>
      <c r="K116" s="91"/>
      <c r="L116" s="101">
        <f t="shared" si="5"/>
        <v>0</v>
      </c>
      <c r="M116" s="102">
        <f t="shared" si="7"/>
        <v>0</v>
      </c>
      <c r="N116" s="183"/>
      <c r="O116" s="71"/>
      <c r="P116" s="22"/>
    </row>
    <row r="117" spans="2:16" ht="9.75">
      <c r="B117" s="16"/>
      <c r="C117" s="69">
        <f>IF(OR(C116=$F$8,C116=$F$42,C116=0),0,IF(C116=$F$42,0,IF(AND(COUPNCD(C116,$F$8,$F$10,1)&gt;$F$42,$F$42&lt;&gt;""),$F$42,(IF(C116=0,0,IF(C116=$F$8,0,COUPNCD(C116,$F$8,$F$10,1)))))))</f>
        <v>0</v>
      </c>
      <c r="D117" s="2"/>
      <c r="E117" s="259"/>
      <c r="F117" s="29">
        <f t="shared" si="1"/>
        <v>0</v>
      </c>
      <c r="G117" s="29">
        <f t="shared" si="4"/>
        <v>0</v>
      </c>
      <c r="H117" s="52">
        <f t="shared" si="6"/>
        <v>0</v>
      </c>
      <c r="I117" s="299"/>
      <c r="J117" s="22"/>
      <c r="K117" s="91"/>
      <c r="L117" s="101">
        <f t="shared" si="5"/>
        <v>0</v>
      </c>
      <c r="M117" s="102">
        <f t="shared" si="7"/>
        <v>0</v>
      </c>
      <c r="N117" s="183"/>
      <c r="O117" s="71"/>
      <c r="P117" s="22"/>
    </row>
    <row r="118" spans="2:16" ht="9.75">
      <c r="B118" s="16"/>
      <c r="C118" s="69">
        <f>IF(OR(C117=$F$8,C117=$F$42,C117=0),0,IF(C117=$F$42,0,IF(AND(COUPNCD(C117,$F$8,$F$10,1)&gt;$F$42,$F$42&lt;&gt;""),$F$42,(IF(C117=0,0,IF(C117=$F$8,0,COUPNCD(C117,$F$8,$F$10,1)))))))</f>
        <v>0</v>
      </c>
      <c r="D118" s="2"/>
      <c r="E118" s="259"/>
      <c r="F118" s="29">
        <f t="shared" si="1"/>
        <v>0</v>
      </c>
      <c r="G118" s="29">
        <f t="shared" si="4"/>
        <v>0</v>
      </c>
      <c r="H118" s="52">
        <f t="shared" si="6"/>
        <v>0</v>
      </c>
      <c r="I118" s="299"/>
      <c r="J118" s="22"/>
      <c r="K118" s="91"/>
      <c r="L118" s="101">
        <f t="shared" si="5"/>
        <v>0</v>
      </c>
      <c r="M118" s="102">
        <f t="shared" si="7"/>
        <v>0</v>
      </c>
      <c r="N118" s="183"/>
      <c r="O118" s="71"/>
      <c r="P118" s="22"/>
    </row>
    <row r="119" spans="2:16" ht="9.75">
      <c r="B119" s="16"/>
      <c r="C119" s="69">
        <f>IF(OR(C118=$F$8,C118=$F$42,C118=0),0,IF(C118=$F$42,0,IF(AND(COUPNCD(C118,$F$8,$F$10,1)&gt;$F$42,$F$42&lt;&gt;""),$F$42,(IF(C118=0,0,IF(C118=$F$8,0,COUPNCD(C118,$F$8,$F$10,1)))))))</f>
        <v>0</v>
      </c>
      <c r="D119" s="2"/>
      <c r="E119" s="259"/>
      <c r="F119" s="29">
        <f t="shared" si="1"/>
        <v>0</v>
      </c>
      <c r="G119" s="29">
        <f t="shared" si="4"/>
        <v>0</v>
      </c>
      <c r="H119" s="52">
        <f t="shared" si="6"/>
        <v>0</v>
      </c>
      <c r="I119" s="299"/>
      <c r="J119" s="22"/>
      <c r="K119" s="91"/>
      <c r="L119" s="101">
        <f t="shared" si="5"/>
        <v>0</v>
      </c>
      <c r="M119" s="102">
        <f t="shared" si="7"/>
        <v>0</v>
      </c>
      <c r="N119" s="183"/>
      <c r="O119" s="71"/>
      <c r="P119" s="22"/>
    </row>
    <row r="120" spans="2:16" ht="9.75">
      <c r="B120" s="16"/>
      <c r="C120" s="69">
        <f>IF(OR(C119=$F$8,C119=$F$42,C119=0),0,IF(C119=$F$42,0,IF(AND(COUPNCD(C119,$F$8,$F$10,1)&gt;$F$42,$F$42&lt;&gt;""),$F$42,(IF(C119=0,0,IF(C119=$F$8,0,COUPNCD(C119,$F$8,$F$10,1)))))))</f>
        <v>0</v>
      </c>
      <c r="D120" s="2"/>
      <c r="E120" s="259"/>
      <c r="F120" s="29">
        <f t="shared" si="1"/>
        <v>0</v>
      </c>
      <c r="G120" s="29">
        <f t="shared" si="4"/>
        <v>0</v>
      </c>
      <c r="H120" s="52">
        <f t="shared" si="6"/>
        <v>0</v>
      </c>
      <c r="I120" s="299"/>
      <c r="J120" s="22"/>
      <c r="K120" s="91"/>
      <c r="L120" s="101">
        <f t="shared" si="5"/>
        <v>0</v>
      </c>
      <c r="M120" s="102">
        <f t="shared" si="7"/>
        <v>0</v>
      </c>
      <c r="N120" s="183"/>
      <c r="O120" s="71"/>
      <c r="P120" s="22"/>
    </row>
    <row r="121" spans="2:16" ht="9.75">
      <c r="B121" s="16"/>
      <c r="C121" s="69">
        <f>IF(OR(C120=$F$8,C120=$F$42,C120=0),0,IF(C120=$F$42,0,IF(AND(COUPNCD(C120,$F$8,$F$10,1)&gt;$F$42,$F$42&lt;&gt;""),$F$42,(IF(C120=0,0,IF(C120=$F$8,0,COUPNCD(C120,$F$8,$F$10,1)))))))</f>
        <v>0</v>
      </c>
      <c r="D121" s="2"/>
      <c r="E121" s="259"/>
      <c r="F121" s="29">
        <f t="shared" si="1"/>
        <v>0</v>
      </c>
      <c r="G121" s="29">
        <f t="shared" si="4"/>
        <v>0</v>
      </c>
      <c r="H121" s="52">
        <f t="shared" si="6"/>
        <v>0</v>
      </c>
      <c r="I121" s="299"/>
      <c r="J121" s="22"/>
      <c r="K121" s="91"/>
      <c r="L121" s="101">
        <f t="shared" si="5"/>
        <v>0</v>
      </c>
      <c r="M121" s="102">
        <f t="shared" si="7"/>
        <v>0</v>
      </c>
      <c r="N121" s="183"/>
      <c r="O121" s="71"/>
      <c r="P121" s="22"/>
    </row>
    <row r="122" spans="2:16" ht="9.75">
      <c r="B122" s="16"/>
      <c r="C122" s="69">
        <f>IF(OR(C121=$F$8,C121=$F$42,C121=0),0,IF(C121=$F$42,0,IF(AND(COUPNCD(C121,$F$8,$F$10,1)&gt;$F$42,$F$42&lt;&gt;""),$F$42,(IF(C121=0,0,IF(C121=$F$8,0,COUPNCD(C121,$F$8,$F$10,1)))))))</f>
        <v>0</v>
      </c>
      <c r="D122" s="2"/>
      <c r="E122" s="259"/>
      <c r="F122" s="29">
        <f t="shared" si="1"/>
        <v>0</v>
      </c>
      <c r="G122" s="29">
        <f t="shared" si="4"/>
        <v>0</v>
      </c>
      <c r="H122" s="52">
        <f t="shared" si="6"/>
        <v>0</v>
      </c>
      <c r="I122" s="299"/>
      <c r="J122" s="22"/>
      <c r="K122" s="91"/>
      <c r="L122" s="101">
        <f t="shared" si="5"/>
        <v>0</v>
      </c>
      <c r="M122" s="102">
        <f t="shared" si="7"/>
        <v>0</v>
      </c>
      <c r="N122" s="183"/>
      <c r="O122" s="71"/>
      <c r="P122" s="22"/>
    </row>
    <row r="123" spans="2:16" ht="9.75">
      <c r="B123" s="16"/>
      <c r="C123" s="69">
        <f>IF(OR(C122=$F$8,C122=$F$42,C122=0),0,IF(C122=$F$42,0,IF(AND(COUPNCD(C122,$F$8,$F$10,1)&gt;$F$42,$F$42&lt;&gt;""),$F$42,(IF(C122=0,0,IF(C122=$F$8,0,COUPNCD(C122,$F$8,$F$10,1)))))))</f>
        <v>0</v>
      </c>
      <c r="D123" s="2"/>
      <c r="E123" s="259"/>
      <c r="F123" s="29">
        <f t="shared" si="1"/>
        <v>0</v>
      </c>
      <c r="G123" s="29">
        <f t="shared" si="4"/>
        <v>0</v>
      </c>
      <c r="H123" s="52">
        <f t="shared" si="6"/>
        <v>0</v>
      </c>
      <c r="I123" s="299"/>
      <c r="J123" s="22"/>
      <c r="K123" s="91"/>
      <c r="L123" s="101">
        <f t="shared" si="5"/>
        <v>0</v>
      </c>
      <c r="M123" s="102">
        <f t="shared" si="7"/>
        <v>0</v>
      </c>
      <c r="N123" s="183"/>
      <c r="O123" s="71"/>
      <c r="P123" s="22"/>
    </row>
    <row r="124" spans="2:15" ht="10.5" thickBot="1">
      <c r="B124" s="72"/>
      <c r="C124" s="73"/>
      <c r="D124" s="73"/>
      <c r="E124" s="73"/>
      <c r="F124" s="73"/>
      <c r="G124" s="73"/>
      <c r="H124" s="73"/>
      <c r="I124" s="73"/>
      <c r="J124" s="73"/>
      <c r="K124" s="105"/>
      <c r="L124" s="73"/>
      <c r="M124" s="73"/>
      <c r="N124" s="73"/>
      <c r="O124" s="74"/>
    </row>
    <row r="125" ht="10.5" thickTop="1"/>
  </sheetData>
  <sheetProtection password="CAD7" sheet="1" objects="1" scenarios="1" formatCells="0" formatColumns="0" formatRows="0"/>
  <mergeCells count="15">
    <mergeCell ref="B2:O2"/>
    <mergeCell ref="L7:N8"/>
    <mergeCell ref="L10:N11"/>
    <mergeCell ref="L5:N5"/>
    <mergeCell ref="L6:N6"/>
    <mergeCell ref="D4:D16"/>
    <mergeCell ref="H4:I4"/>
    <mergeCell ref="H5:I5"/>
    <mergeCell ref="H6:I6"/>
    <mergeCell ref="F4:G4"/>
    <mergeCell ref="C56:C59"/>
    <mergeCell ref="D59:E59"/>
    <mergeCell ref="D58:E58"/>
    <mergeCell ref="D57:E57"/>
    <mergeCell ref="D56:E56"/>
  </mergeCells>
  <conditionalFormatting sqref="I8:I35">
    <cfRule type="expression" priority="1" dxfId="0" stopIfTrue="1">
      <formula>IF(H8&lt;&gt;0,TRUE,FALSE)</formula>
    </cfRule>
  </conditionalFormatting>
  <conditionalFormatting sqref="L63:M123 C63:C123 F56:F59 M57:M59 M36:M39 N36:N37 F14:F15 F12 G34:G36 F28:F37 G51:G53 F44:F54 M42 N31:N32 N39 M23:M25 M34:N34 M17:M19 M21 M29:M32 G63:H123">
    <cfRule type="cellIs" priority="2" dxfId="1" operator="equal" stopIfTrue="1">
      <formula>0</formula>
    </cfRule>
  </conditionalFormatting>
  <conditionalFormatting sqref="I63:I123 G54 N57:N59 G56:G59 N23:N25 G37 G26:G27 N54 G47:G50 G43:G45 N29:N30 U28 N16:N19 N38 N21 N63:N123">
    <cfRule type="cellIs" priority="3" dxfId="5" operator="equal" stopIfTrue="1">
      <formula>0</formula>
    </cfRule>
  </conditionalFormatting>
  <conditionalFormatting sqref="F13">
    <cfRule type="expression" priority="4" dxfId="1" stopIfTrue="1">
      <formula>$F$9=0</formula>
    </cfRule>
  </conditionalFormatting>
  <conditionalFormatting sqref="M35 M22:N22">
    <cfRule type="cellIs" priority="5" dxfId="3" operator="equal" stopIfTrue="1">
      <formula>0</formula>
    </cfRule>
  </conditionalFormatting>
  <conditionalFormatting sqref="H7:H35">
    <cfRule type="cellIs" priority="6" dxfId="2" operator="equal" stopIfTrue="1">
      <formula>0</formula>
    </cfRule>
  </conditionalFormatting>
  <conditionalFormatting sqref="F64:F123">
    <cfRule type="expression" priority="7" dxfId="1" stopIfTrue="1">
      <formula>C64=0</formula>
    </cfRule>
  </conditionalFormatting>
  <conditionalFormatting sqref="E64:E123">
    <cfRule type="expression" priority="8" dxfId="0" stopIfTrue="1">
      <formula>IF(C64&lt;&gt;0,TRUE,FALSE)</formula>
    </cfRule>
  </conditionalFormatting>
  <printOptions horizontalCentered="1" verticalCentered="1"/>
  <pageMargins left="0.393700787401575" right="0.393700787401575" top="0.984251968503937" bottom="0.984251968503937" header="0.511811023622047" footer="0.511811023622047"/>
  <pageSetup fitToHeight="1" fitToWidth="1" horizontalDpi="360" verticalDpi="360" orientation="portrait" paperSize="9" scale="66"/>
  <legacyDrawing r:id="rId3"/>
  <oleObjects>
    <oleObject progId="Equation.3" shapeId="57008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</dc:title>
  <dc:subject>Calcolo rendimenti</dc:subject>
  <dc:creator>Maino</dc:creator>
  <cp:keywords/>
  <dc:description/>
  <cp:lastModifiedBy>Maino</cp:lastModifiedBy>
  <cp:lastPrinted>2009-01-13T10:31:47Z</cp:lastPrinted>
  <dcterms:created xsi:type="dcterms:W3CDTF">2005-01-06T20:37:58Z</dcterms:created>
  <dcterms:modified xsi:type="dcterms:W3CDTF">2009-07-06T20:13:02Z</dcterms:modified>
  <cp:category/>
  <cp:version/>
  <cp:contentType/>
  <cp:contentStatus/>
</cp:coreProperties>
</file>