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8445" activeTab="1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R17" authorId="0">
      <text>
        <r>
          <rPr>
            <b/>
            <sz val="8"/>
            <rFont val="Tahoma"/>
            <family val="0"/>
          </rPr>
          <t xml:space="preserve">eccentricità della sezione del tubo ovale
</t>
        </r>
        <r>
          <rPr>
            <sz val="8"/>
            <color indexed="48"/>
            <rFont val="Tahoma"/>
            <family val="2"/>
          </rPr>
          <t>oval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color indexed="48"/>
            <rFont val="Tahoma"/>
            <family val="2"/>
          </rPr>
          <t xml:space="preserve">tube section </t>
        </r>
        <r>
          <rPr>
            <sz val="8"/>
            <color indexed="12"/>
            <rFont val="Tahoma"/>
            <family val="2"/>
          </rPr>
          <t>eccentricity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R19" authorId="0">
      <text>
        <r>
          <rPr>
            <b/>
            <sz val="8"/>
            <rFont val="Tahoma"/>
            <family val="2"/>
          </rPr>
          <t>momento d'inerzia rispetto all'asse  g'-g'</t>
        </r>
        <r>
          <rPr>
            <b/>
            <sz val="8"/>
            <color indexed="12"/>
            <rFont val="Tahoma"/>
            <family val="2"/>
          </rPr>
          <t xml:space="preserve">
inertia moment referred to g'-g' axis</t>
        </r>
        <r>
          <rPr>
            <sz val="8"/>
            <rFont val="Tahoma"/>
            <family val="0"/>
          </rPr>
          <t xml:space="preserve">
</t>
        </r>
      </text>
    </comment>
    <comment ref="R13" authorId="0">
      <text>
        <r>
          <rPr>
            <b/>
            <sz val="8"/>
            <rFont val="Tahoma"/>
            <family val="0"/>
          </rPr>
          <t>lunghezza striscia mantello considerata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2"/>
            <rFont val="Tahoma"/>
            <family val="2"/>
          </rPr>
          <t>tube stripe depth</t>
        </r>
      </text>
    </comment>
    <comment ref="R10" authorId="0">
      <text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ATTENZIONE:</t>
        </r>
        <r>
          <rPr>
            <b/>
            <sz val="8"/>
            <rFont val="Tahoma"/>
            <family val="2"/>
          </rPr>
          <t xml:space="preserve">
il programma è valido per a&gt;&gt;b
In caso contrario in OUTPUT compare la scritta- NON VALIDO-
</t>
        </r>
        <r>
          <rPr>
            <b/>
            <u val="single"/>
            <sz val="8"/>
            <color indexed="12"/>
            <rFont val="Tahoma"/>
            <family val="2"/>
          </rPr>
          <t>WARNING: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program is valid whenever  a&gt;&gt;b 
In the contrary in the control box
you can read- NON VALIDO-</t>
        </r>
      </text>
    </comment>
    <comment ref="S26" authorId="0">
      <text>
        <r>
          <rPr>
            <b/>
            <sz val="8"/>
            <rFont val="Tahoma"/>
            <family val="0"/>
          </rPr>
          <t>scrivere</t>
        </r>
        <r>
          <rPr>
            <b/>
            <sz val="14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 xml:space="preserve"> si  </t>
        </r>
        <r>
          <rPr>
            <b/>
            <sz val="8"/>
            <rFont val="Tahoma"/>
            <family val="0"/>
          </rPr>
          <t xml:space="preserve">   se la sezione del tubo è  elittica o circolare.
Scrivere  </t>
        </r>
        <r>
          <rPr>
            <b/>
            <sz val="14"/>
            <color indexed="10"/>
            <rFont val="Tahoma"/>
            <family val="2"/>
          </rPr>
          <t xml:space="preserve">  no </t>
        </r>
        <r>
          <rPr>
            <b/>
            <sz val="8"/>
            <rFont val="Tahoma"/>
            <family val="0"/>
          </rPr>
          <t xml:space="preserve">  </t>
        </r>
        <r>
          <rPr>
            <b/>
            <sz val="8"/>
            <rFont val="Tahoma"/>
            <family val="2"/>
          </rPr>
          <t xml:space="preserve">se la sezione non rientra nel caso precedente
</t>
        </r>
        <r>
          <rPr>
            <b/>
            <sz val="8"/>
            <color indexed="12"/>
            <rFont val="Tahoma"/>
            <family val="2"/>
          </rPr>
          <t>Write</t>
        </r>
        <r>
          <rPr>
            <b/>
            <sz val="8"/>
            <rFont val="Tahoma"/>
            <family val="2"/>
          </rPr>
          <t xml:space="preserve">   </t>
        </r>
        <r>
          <rPr>
            <b/>
            <sz val="14"/>
            <color indexed="10"/>
            <rFont val="Tahoma"/>
            <family val="2"/>
          </rPr>
          <t xml:space="preserve"> si  </t>
        </r>
        <r>
          <rPr>
            <b/>
            <sz val="8"/>
            <color indexed="12"/>
            <rFont val="Tahoma"/>
            <family val="2"/>
          </rPr>
          <t xml:space="preserve">when tube section is elliptical or circular. Otherwise write  </t>
        </r>
        <r>
          <rPr>
            <b/>
            <sz val="8"/>
            <color indexed="10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 xml:space="preserve"> no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T31" authorId="0">
      <text>
        <r>
          <rPr>
            <b/>
            <sz val="8"/>
            <rFont val="Tahoma"/>
            <family val="0"/>
          </rPr>
          <t xml:space="preserve">in assenza di valori precisi si possono incollare i valori </t>
        </r>
        <r>
          <rPr>
            <b/>
            <i/>
            <sz val="8"/>
            <rFont val="Tahoma"/>
            <family val="2"/>
          </rPr>
          <t xml:space="preserve">approssimati </t>
        </r>
        <r>
          <rPr>
            <b/>
            <sz val="8"/>
            <rFont val="Tahoma"/>
            <family val="0"/>
          </rPr>
          <t xml:space="preserve">di yG  di colonna a lato.
</t>
        </r>
        <r>
          <rPr>
            <b/>
            <sz val="8"/>
            <color indexed="12"/>
            <rFont val="Tahoma"/>
            <family val="2"/>
          </rPr>
          <t xml:space="preserve">If exact values should be unknown , </t>
        </r>
        <r>
          <rPr>
            <b/>
            <sz val="8"/>
            <rFont val="Tahoma"/>
            <family val="0"/>
          </rPr>
          <t>i</t>
        </r>
        <r>
          <rPr>
            <b/>
            <sz val="8"/>
            <color indexed="12"/>
            <rFont val="Tahoma"/>
            <family val="2"/>
          </rPr>
          <t>nstead of exact values you can glue rough values from aside column yG .</t>
        </r>
        <r>
          <rPr>
            <sz val="8"/>
            <rFont val="Tahoma"/>
            <family val="0"/>
          </rPr>
          <t xml:space="preserve">
 </t>
        </r>
      </text>
    </comment>
    <comment ref="Z31" authorId="0">
      <text>
        <r>
          <rPr>
            <b/>
            <sz val="8"/>
            <rFont val="Tahoma"/>
            <family val="0"/>
          </rPr>
          <t xml:space="preserve">in assenza di valori precisi per  yG  si possono incollare i valori approssimati di questa colonna nel settore blu a sinistra.
</t>
        </r>
        <r>
          <rPr>
            <b/>
            <sz val="8"/>
            <color indexed="12"/>
            <rFont val="Tahoma"/>
            <family val="2"/>
          </rPr>
          <t>If exact values for  yG   should be unknown , instead of exact values you can glue these rough values to the yG column on the left.</t>
        </r>
        <r>
          <rPr>
            <sz val="8"/>
            <rFont val="Tahoma"/>
            <family val="0"/>
          </rPr>
          <t xml:space="preserve">
 </t>
        </r>
      </text>
    </comment>
    <comment ref="G46" authorId="0">
      <text>
        <r>
          <rPr>
            <b/>
            <sz val="8"/>
            <rFont val="Tahoma"/>
            <family val="0"/>
          </rPr>
          <t xml:space="preserve">i segni + e - non rappresentano compressione o trazione ma confermano o meno le direzioni date alle frecce nel disegno. I valori di Blanjean sono corretti in quanto calcolati al'intradosso del mantello .
</t>
        </r>
        <r>
          <rPr>
            <b/>
            <sz val="8"/>
            <color indexed="12"/>
            <rFont val="Tahoma"/>
            <family val="2"/>
          </rPr>
          <t xml:space="preserve">Indications + or - do not mean compression or traction but only accordance (+) or not (-) to arrows direction on draft aside. Blanjean values are rectified because calculated at internal fibre </t>
        </r>
      </text>
    </comment>
    <comment ref="O61" authorId="0">
      <text>
        <r>
          <rPr>
            <b/>
            <sz val="8"/>
            <rFont val="Tahoma"/>
            <family val="0"/>
          </rPr>
          <t xml:space="preserve">uguale valore per la fibra compressa e per quella tesa
</t>
        </r>
        <r>
          <rPr>
            <b/>
            <sz val="8"/>
            <color indexed="12"/>
            <rFont val="Tahoma"/>
            <family val="2"/>
          </rPr>
          <t>one same value for both compression and  traction stresses</t>
        </r>
        <r>
          <rPr>
            <sz val="8"/>
            <rFont val="Tahoma"/>
            <family val="0"/>
          </rPr>
          <t xml:space="preserve">
</t>
        </r>
      </text>
    </comment>
    <comment ref="Y20" authorId="0">
      <text>
        <r>
          <rPr>
            <b/>
            <sz val="8"/>
            <rFont val="Tahoma"/>
            <family val="0"/>
          </rPr>
          <t xml:space="preserve">uguale valore per la fibra compressa e per quella tesa
</t>
        </r>
        <r>
          <rPr>
            <b/>
            <sz val="8"/>
            <color indexed="12"/>
            <rFont val="Tahoma"/>
            <family val="2"/>
          </rPr>
          <t>one same value for both compression and  traction stresses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T14" authorId="0">
      <text>
        <r>
          <rPr>
            <b/>
            <sz val="8"/>
            <rFont val="Tahoma"/>
            <family val="0"/>
          </rPr>
          <t xml:space="preserve">pressione  di lavoro calcolata con la tensione massima ammessa.
</t>
        </r>
        <r>
          <rPr>
            <b/>
            <u val="single"/>
            <sz val="8"/>
            <rFont val="Tahoma"/>
            <family val="2"/>
          </rPr>
          <t xml:space="preserve">Vedere </t>
        </r>
        <r>
          <rPr>
            <b/>
            <i/>
            <u val="single"/>
            <sz val="8"/>
            <rFont val="Tahoma"/>
            <family val="2"/>
          </rPr>
          <t xml:space="preserve">OUTPUT </t>
        </r>
        <r>
          <rPr>
            <b/>
            <u val="single"/>
            <sz val="8"/>
            <rFont val="Tahoma"/>
            <family val="2"/>
          </rPr>
          <t>Foglio 3.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Copiare questo valore, od un valore inferiore, nella cella bordata in rosso.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Working pressure calculated by theories based on max. admitted stress. 
</t>
        </r>
        <r>
          <rPr>
            <b/>
            <u val="single"/>
            <sz val="8"/>
            <color indexed="12"/>
            <rFont val="Tahoma"/>
            <family val="2"/>
          </rPr>
          <t xml:space="preserve">Go to </t>
        </r>
        <r>
          <rPr>
            <b/>
            <i/>
            <u val="single"/>
            <sz val="8"/>
            <color indexed="12"/>
            <rFont val="Tahoma"/>
            <family val="2"/>
          </rPr>
          <t>OUTPUT</t>
        </r>
        <r>
          <rPr>
            <b/>
            <u val="single"/>
            <sz val="8"/>
            <color indexed="12"/>
            <rFont val="Tahoma"/>
            <family val="2"/>
          </rPr>
          <t xml:space="preserve"> Foglio 3.</t>
        </r>
        <r>
          <rPr>
            <b/>
            <sz val="11"/>
            <color indexed="12"/>
            <rFont val="Tahoma"/>
            <family val="2"/>
          </rPr>
          <t xml:space="preserve">
Glue these value, or a lower value, to red framed cell.</t>
        </r>
        <r>
          <rPr>
            <sz val="8"/>
            <rFont val="Tahoma"/>
            <family val="0"/>
          </rPr>
          <t xml:space="preserve">
</t>
        </r>
      </text>
    </comment>
    <comment ref="S14" authorId="0">
      <text>
        <r>
          <rPr>
            <b/>
            <sz val="8"/>
            <rFont val="Tahoma"/>
            <family val="2"/>
          </rPr>
          <t>scrivi qui il valore della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>cella a destra od un valore inferiore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write  here the right value of cell aside or a lower value.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<sst xmlns="http://schemas.openxmlformats.org/spreadsheetml/2006/main" count="266" uniqueCount="199">
  <si>
    <t>kg/cm2</t>
  </si>
  <si>
    <t>cm</t>
  </si>
  <si>
    <t>cm4</t>
  </si>
  <si>
    <t>cm2</t>
  </si>
  <si>
    <t>b</t>
  </si>
  <si>
    <t>h</t>
  </si>
  <si>
    <t>r</t>
  </si>
  <si>
    <t xml:space="preserve">A </t>
  </si>
  <si>
    <t>c</t>
  </si>
  <si>
    <r>
      <t xml:space="preserve">in </t>
    </r>
    <r>
      <rPr>
        <b/>
        <sz val="12"/>
        <rFont val="Arial"/>
        <family val="2"/>
      </rPr>
      <t>B</t>
    </r>
  </si>
  <si>
    <r>
      <t>r</t>
    </r>
    <r>
      <rPr>
        <sz val="12"/>
        <rFont val="Tahoma"/>
        <family val="2"/>
      </rPr>
      <t>'</t>
    </r>
  </si>
  <si>
    <t>sforzo massimo in B</t>
  </si>
  <si>
    <t>critical point: B</t>
  </si>
  <si>
    <t>J'</t>
  </si>
  <si>
    <t>e</t>
  </si>
  <si>
    <t>In caso di pressione interna</t>
  </si>
  <si>
    <t>for an internal pressure</t>
  </si>
  <si>
    <t>XB</t>
  </si>
  <si>
    <t>B</t>
  </si>
  <si>
    <t>A</t>
  </si>
  <si>
    <t>a</t>
  </si>
  <si>
    <t xml:space="preserve">E </t>
  </si>
  <si>
    <t>VB</t>
  </si>
  <si>
    <r>
      <t xml:space="preserve">A   </t>
    </r>
    <r>
      <rPr>
        <sz val="8"/>
        <rFont val="Arial"/>
        <family val="2"/>
      </rPr>
      <t xml:space="preserve"> cm2</t>
    </r>
  </si>
  <si>
    <r>
      <t xml:space="preserve">y  </t>
    </r>
    <r>
      <rPr>
        <sz val="8"/>
        <rFont val="Arial"/>
        <family val="2"/>
      </rPr>
      <t xml:space="preserve"> cm</t>
    </r>
  </si>
  <si>
    <r>
      <t xml:space="preserve">x   </t>
    </r>
    <r>
      <rPr>
        <sz val="8"/>
        <rFont val="Arial"/>
        <family val="2"/>
      </rPr>
      <t>cm</t>
    </r>
  </si>
  <si>
    <r>
      <t xml:space="preserve">l   </t>
    </r>
    <r>
      <rPr>
        <sz val="8"/>
        <rFont val="Arial"/>
        <family val="2"/>
      </rPr>
      <t>cm</t>
    </r>
  </si>
  <si>
    <r>
      <t xml:space="preserve">Jx    </t>
    </r>
    <r>
      <rPr>
        <sz val="8"/>
        <rFont val="Arial"/>
        <family val="2"/>
      </rPr>
      <t xml:space="preserve"> cm4</t>
    </r>
  </si>
  <si>
    <r>
      <t xml:space="preserve">Jy    </t>
    </r>
    <r>
      <rPr>
        <sz val="8"/>
        <rFont val="Arial"/>
        <family val="2"/>
      </rPr>
      <t xml:space="preserve"> cm4</t>
    </r>
  </si>
  <si>
    <t>xB</t>
  </si>
  <si>
    <t>yB</t>
  </si>
  <si>
    <t>y^2/a^2 + x^2/b^2 = 1</t>
  </si>
  <si>
    <t>Settore/Punto 2</t>
  </si>
  <si>
    <t>Settore/Punto 3</t>
  </si>
  <si>
    <t>Settore/Punto 4</t>
  </si>
  <si>
    <t>Settore/Punto 1</t>
  </si>
  <si>
    <t>VB =</t>
  </si>
  <si>
    <t>pa^2/2-p/2/l*(Jx+Jy)</t>
  </si>
  <si>
    <t xml:space="preserve">a </t>
  </si>
  <si>
    <t>x2</t>
  </si>
  <si>
    <t>x3G</t>
  </si>
  <si>
    <t>y3G</t>
  </si>
  <si>
    <t>y2</t>
  </si>
  <si>
    <t>=</t>
  </si>
  <si>
    <r>
      <t xml:space="preserve">xG  </t>
    </r>
    <r>
      <rPr>
        <sz val="8"/>
        <rFont val="Arial"/>
        <family val="2"/>
      </rPr>
      <t xml:space="preserve">  cm</t>
    </r>
  </si>
  <si>
    <r>
      <t xml:space="preserve">yG   </t>
    </r>
    <r>
      <rPr>
        <sz val="8"/>
        <rFont val="Arial"/>
        <family val="2"/>
      </rPr>
      <t>cm</t>
    </r>
  </si>
  <si>
    <t>sviluppo esatto</t>
  </si>
  <si>
    <t>e =</t>
  </si>
  <si>
    <t>correct value</t>
  </si>
  <si>
    <t>Ba</t>
  </si>
  <si>
    <t>fig. B)</t>
  </si>
  <si>
    <t>kgcm</t>
  </si>
  <si>
    <t xml:space="preserve">          =</t>
  </si>
  <si>
    <t>Jx + Jy =</t>
  </si>
  <si>
    <t>XB =</t>
  </si>
  <si>
    <t>kg</t>
  </si>
  <si>
    <t>ellipse</t>
  </si>
  <si>
    <t>P =</t>
  </si>
  <si>
    <t>Q =</t>
  </si>
  <si>
    <t>S =</t>
  </si>
  <si>
    <t>G</t>
  </si>
  <si>
    <r>
      <t xml:space="preserve">W </t>
    </r>
    <r>
      <rPr>
        <sz val="8"/>
        <rFont val="Arial"/>
        <family val="2"/>
      </rPr>
      <t>estr.</t>
    </r>
    <r>
      <rPr>
        <sz val="10"/>
        <rFont val="Arial"/>
        <family val="0"/>
      </rPr>
      <t xml:space="preserve"> =</t>
    </r>
  </si>
  <si>
    <r>
      <t xml:space="preserve">W </t>
    </r>
    <r>
      <rPr>
        <sz val="8"/>
        <rFont val="Arial"/>
        <family val="2"/>
      </rPr>
      <t>intr</t>
    </r>
    <r>
      <rPr>
        <sz val="10"/>
        <rFont val="Arial"/>
        <family val="0"/>
      </rPr>
      <t>. =</t>
    </r>
  </si>
  <si>
    <t>Blanjean</t>
  </si>
  <si>
    <t xml:space="preserve"> deformazione della sezione</t>
  </si>
  <si>
    <r>
      <t>s</t>
    </r>
    <r>
      <rPr>
        <sz val="8"/>
        <rFont val="Arial"/>
        <family val="0"/>
      </rPr>
      <t xml:space="preserve"> B </t>
    </r>
    <r>
      <rPr>
        <sz val="8"/>
        <rFont val="Arial"/>
        <family val="2"/>
      </rPr>
      <t>intradosso =</t>
    </r>
  </si>
  <si>
    <t>value according to ….</t>
  </si>
  <si>
    <r>
      <t>estradosso, estr.,</t>
    </r>
    <r>
      <rPr>
        <sz val="10"/>
        <color indexed="15"/>
        <rFont val="Arial"/>
        <family val="2"/>
      </rPr>
      <t xml:space="preserve"> </t>
    </r>
    <r>
      <rPr>
        <sz val="10"/>
        <color indexed="12"/>
        <rFont val="Arial"/>
        <family val="2"/>
      </rPr>
      <t>external fibre</t>
    </r>
  </si>
  <si>
    <r>
      <t xml:space="preserve">calcolo secondo </t>
    </r>
    <r>
      <rPr>
        <b/>
        <sz val="10"/>
        <rFont val="Arial"/>
        <family val="2"/>
      </rPr>
      <t>Blanjean</t>
    </r>
  </si>
  <si>
    <t>si</t>
  </si>
  <si>
    <t>rough values</t>
  </si>
  <si>
    <t>valori circa</t>
  </si>
  <si>
    <t>tan</t>
  </si>
  <si>
    <t>rad</t>
  </si>
  <si>
    <t>l   cm</t>
  </si>
  <si>
    <t>gradi</t>
  </si>
  <si>
    <t>Jy     cm4</t>
  </si>
  <si>
    <t>elisse</t>
  </si>
  <si>
    <r>
      <t xml:space="preserve">l </t>
    </r>
    <r>
      <rPr>
        <sz val="8"/>
        <rFont val="Arial"/>
        <family val="2"/>
      </rPr>
      <t>(A-B)</t>
    </r>
  </si>
  <si>
    <t>W G =</t>
  </si>
  <si>
    <r>
      <t>s</t>
    </r>
    <r>
      <rPr>
        <sz val="8"/>
        <rFont val="Arial"/>
        <family val="2"/>
      </rPr>
      <t>B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estradosso =</t>
    </r>
  </si>
  <si>
    <r>
      <t>s</t>
    </r>
    <r>
      <rPr>
        <sz val="8"/>
        <rFont val="Arial"/>
        <family val="0"/>
      </rPr>
      <t xml:space="preserve"> B = </t>
    </r>
  </si>
  <si>
    <t>fill-up purple cells only</t>
  </si>
  <si>
    <t>f =</t>
  </si>
  <si>
    <t>J3 =</t>
  </si>
  <si>
    <t>J10 =</t>
  </si>
  <si>
    <t>arcsen e =</t>
  </si>
  <si>
    <t>arcsenh f =</t>
  </si>
  <si>
    <t>J =</t>
  </si>
  <si>
    <t>E =</t>
  </si>
  <si>
    <r>
      <t xml:space="preserve">1 - </t>
    </r>
    <r>
      <rPr>
        <sz val="14"/>
        <rFont val="Symbol"/>
        <family val="1"/>
      </rPr>
      <t>e</t>
    </r>
    <r>
      <rPr>
        <sz val="14"/>
        <rFont val="Arial"/>
        <family val="0"/>
      </rPr>
      <t xml:space="preserve"> </t>
    </r>
    <r>
      <rPr>
        <sz val="10"/>
        <rFont val="Arial"/>
        <family val="0"/>
      </rPr>
      <t xml:space="preserve">  =</t>
    </r>
  </si>
  <si>
    <r>
      <t xml:space="preserve">2 - </t>
    </r>
    <r>
      <rPr>
        <sz val="14"/>
        <rFont val="Symbol"/>
        <family val="1"/>
      </rPr>
      <t>e</t>
    </r>
    <r>
      <rPr>
        <sz val="14"/>
        <rFont val="Arial"/>
        <family val="0"/>
      </rPr>
      <t xml:space="preserve"> </t>
    </r>
    <r>
      <rPr>
        <sz val="10"/>
        <rFont val="Arial"/>
        <family val="0"/>
      </rPr>
      <t xml:space="preserve">  =</t>
    </r>
  </si>
  <si>
    <t>h/a =</t>
  </si>
  <si>
    <r>
      <t>D</t>
    </r>
    <r>
      <rPr>
        <sz val="10"/>
        <rFont val="Arial"/>
        <family val="0"/>
      </rPr>
      <t xml:space="preserve"> 2a =</t>
    </r>
  </si>
  <si>
    <r>
      <t>D</t>
    </r>
    <r>
      <rPr>
        <sz val="10"/>
        <rFont val="Arial"/>
        <family val="0"/>
      </rPr>
      <t xml:space="preserve"> 2b =</t>
    </r>
  </si>
  <si>
    <t>J13 =</t>
  </si>
  <si>
    <t>G =</t>
  </si>
  <si>
    <t>F =</t>
  </si>
  <si>
    <t>p/2 =</t>
  </si>
  <si>
    <t>J1 =</t>
  </si>
  <si>
    <t>J2 =</t>
  </si>
  <si>
    <t>J4 =</t>
  </si>
  <si>
    <t>INPUT</t>
  </si>
  <si>
    <t>OUTPUT</t>
  </si>
  <si>
    <r>
      <t>D 2</t>
    </r>
    <r>
      <rPr>
        <sz val="10"/>
        <rFont val="Tahoma"/>
        <family val="2"/>
      </rPr>
      <t>a</t>
    </r>
    <r>
      <rPr>
        <sz val="10"/>
        <rFont val="Symbol"/>
        <family val="1"/>
      </rPr>
      <t xml:space="preserve"> =</t>
    </r>
  </si>
  <si>
    <r>
      <t>D 2</t>
    </r>
    <r>
      <rPr>
        <sz val="10"/>
        <rFont val="Tahoma"/>
        <family val="2"/>
      </rPr>
      <t>b</t>
    </r>
    <r>
      <rPr>
        <sz val="10"/>
        <rFont val="Symbol"/>
        <family val="1"/>
      </rPr>
      <t xml:space="preserve"> =</t>
    </r>
  </si>
  <si>
    <t>forma finale</t>
  </si>
  <si>
    <t>end shape</t>
  </si>
  <si>
    <t>internal fibre</t>
  </si>
  <si>
    <t>external fibre</t>
  </si>
  <si>
    <r>
      <t>s</t>
    </r>
    <r>
      <rPr>
        <sz val="14"/>
        <rFont val="Tahoma"/>
        <family val="2"/>
      </rPr>
      <t xml:space="preserve"> </t>
    </r>
    <r>
      <rPr>
        <sz val="12"/>
        <rFont val="Tahoma"/>
        <family val="2"/>
      </rPr>
      <t>B</t>
    </r>
    <r>
      <rPr>
        <sz val="10"/>
        <rFont val="Tahoma"/>
        <family val="2"/>
      </rPr>
      <t xml:space="preserve"> intradosso =</t>
    </r>
  </si>
  <si>
    <r>
      <t>s</t>
    </r>
    <r>
      <rPr>
        <sz val="12"/>
        <rFont val="Tahoma"/>
        <family val="2"/>
      </rPr>
      <t>B</t>
    </r>
    <r>
      <rPr>
        <sz val="10"/>
        <rFont val="Tahoma"/>
        <family val="2"/>
      </rPr>
      <t xml:space="preserve"> estradosso =</t>
    </r>
  </si>
  <si>
    <t xml:space="preserve">Calcolo della pressione interna ammissibile  </t>
  </si>
  <si>
    <t>internal pressure admitted</t>
  </si>
  <si>
    <t>b =</t>
  </si>
  <si>
    <r>
      <t xml:space="preserve">s </t>
    </r>
    <r>
      <rPr>
        <sz val="10"/>
        <rFont val="Tahoma"/>
        <family val="2"/>
      </rPr>
      <t>adm</t>
    </r>
    <r>
      <rPr>
        <sz val="10"/>
        <rFont val="Symbol"/>
        <family val="1"/>
      </rPr>
      <t>.</t>
    </r>
    <r>
      <rPr>
        <sz val="14"/>
        <rFont val="Symbol"/>
        <family val="1"/>
      </rPr>
      <t xml:space="preserve"> = </t>
    </r>
  </si>
  <si>
    <r>
      <t xml:space="preserve">p </t>
    </r>
    <r>
      <rPr>
        <sz val="8"/>
        <rFont val="Arial"/>
        <family val="2"/>
      </rPr>
      <t>adm</t>
    </r>
    <r>
      <rPr>
        <sz val="10"/>
        <rFont val="Arial"/>
        <family val="0"/>
      </rPr>
      <t>. =</t>
    </r>
  </si>
  <si>
    <t>Rankine theory</t>
  </si>
  <si>
    <t>Guest theory</t>
  </si>
  <si>
    <t>Mises theory</t>
  </si>
  <si>
    <r>
      <t xml:space="preserve">t </t>
    </r>
    <r>
      <rPr>
        <sz val="10"/>
        <rFont val="Arial"/>
        <family val="0"/>
      </rPr>
      <t>max =</t>
    </r>
  </si>
  <si>
    <t>pint1=</t>
  </si>
  <si>
    <r>
      <t xml:space="preserve">s </t>
    </r>
    <r>
      <rPr>
        <sz val="12"/>
        <color indexed="15"/>
        <rFont val="Symbol"/>
        <family val="1"/>
      </rPr>
      <t>q</t>
    </r>
    <r>
      <rPr>
        <sz val="14"/>
        <color indexed="15"/>
        <rFont val="Symbol"/>
        <family val="1"/>
      </rPr>
      <t xml:space="preserve"> = </t>
    </r>
  </si>
  <si>
    <r>
      <t xml:space="preserve">s </t>
    </r>
    <r>
      <rPr>
        <sz val="10"/>
        <rFont val="Tahoma"/>
        <family val="2"/>
      </rPr>
      <t>max.</t>
    </r>
    <r>
      <rPr>
        <sz val="14"/>
        <rFont val="Symbol"/>
        <family val="1"/>
      </rPr>
      <t xml:space="preserve"> = </t>
    </r>
  </si>
  <si>
    <r>
      <t>e</t>
    </r>
    <r>
      <rPr>
        <sz val="14"/>
        <rFont val="Symbol"/>
        <family val="1"/>
      </rPr>
      <t xml:space="preserve"> </t>
    </r>
    <r>
      <rPr>
        <sz val="10"/>
        <rFont val="Tahoma"/>
        <family val="2"/>
      </rPr>
      <t>adm</t>
    </r>
    <r>
      <rPr>
        <sz val="10"/>
        <rFont val="Symbol"/>
        <family val="1"/>
      </rPr>
      <t>.</t>
    </r>
    <r>
      <rPr>
        <sz val="14"/>
        <rFont val="Symbol"/>
        <family val="1"/>
      </rPr>
      <t xml:space="preserve"> = </t>
    </r>
  </si>
  <si>
    <r>
      <t>1-</t>
    </r>
    <r>
      <rPr>
        <i/>
        <u val="single"/>
        <sz val="14"/>
        <rFont val="Symbol"/>
        <family val="1"/>
      </rPr>
      <t>e</t>
    </r>
    <r>
      <rPr>
        <sz val="14"/>
        <rFont val="Symbol"/>
        <family val="1"/>
      </rPr>
      <t xml:space="preserve"> </t>
    </r>
    <r>
      <rPr>
        <sz val="10"/>
        <rFont val="Tahoma"/>
        <family val="2"/>
      </rPr>
      <t>adm</t>
    </r>
    <r>
      <rPr>
        <sz val="10"/>
        <rFont val="Symbol"/>
        <family val="1"/>
      </rPr>
      <t>.</t>
    </r>
    <r>
      <rPr>
        <sz val="14"/>
        <rFont val="Symbol"/>
        <family val="1"/>
      </rPr>
      <t xml:space="preserve"> = </t>
    </r>
  </si>
  <si>
    <t>max admitted elongation</t>
  </si>
  <si>
    <t>Rankine theory valid for a  thin wall  thickness only</t>
  </si>
  <si>
    <t>La teoria di Rankine è applicabile solo per spessori di parete piccoli rispetto alle dimensioni del tubo</t>
  </si>
  <si>
    <t>Max internal working  pressure based on admitted stresses</t>
  </si>
  <si>
    <t>Calcolo della max. pressione interna  in base alle tensioni ammesse</t>
  </si>
  <si>
    <r>
      <t xml:space="preserve">s </t>
    </r>
    <r>
      <rPr>
        <sz val="10"/>
        <rFont val="Arial"/>
        <family val="0"/>
      </rPr>
      <t xml:space="preserve">max. = </t>
    </r>
  </si>
  <si>
    <r>
      <t>t</t>
    </r>
    <r>
      <rPr>
        <sz val="10"/>
        <rFont val="Arial"/>
        <family val="0"/>
      </rPr>
      <t xml:space="preserve"> max =</t>
    </r>
  </si>
  <si>
    <r>
      <t xml:space="preserve">p  </t>
    </r>
    <r>
      <rPr>
        <b/>
        <sz val="8"/>
        <rFont val="Arial"/>
        <family val="2"/>
      </rPr>
      <t>kg/cm2</t>
    </r>
  </si>
  <si>
    <t xml:space="preserve">scrivere solo per sezione non elittica </t>
  </si>
  <si>
    <t xml:space="preserve">to be filled up if tube section is not elliptical </t>
  </si>
  <si>
    <t xml:space="preserve">elisse? </t>
  </si>
  <si>
    <r>
      <t>+   trazione</t>
    </r>
    <r>
      <rPr>
        <sz val="10"/>
        <color indexed="12"/>
        <rFont val="Arial"/>
        <family val="2"/>
      </rPr>
      <t xml:space="preserve"> tension</t>
    </r>
  </si>
  <si>
    <r>
      <t xml:space="preserve">s </t>
    </r>
    <r>
      <rPr>
        <sz val="12"/>
        <rFont val="Symbol"/>
        <family val="1"/>
      </rPr>
      <t>B</t>
    </r>
    <r>
      <rPr>
        <sz val="14"/>
        <rFont val="Symbol"/>
        <family val="1"/>
      </rPr>
      <t xml:space="preserve"> =</t>
    </r>
    <r>
      <rPr>
        <sz val="14"/>
        <rFont val="Tahoma"/>
        <family val="2"/>
      </rPr>
      <t xml:space="preserve"> </t>
    </r>
    <r>
      <rPr>
        <sz val="12"/>
        <rFont val="Tahoma"/>
        <family val="2"/>
      </rPr>
      <t>+</t>
    </r>
    <r>
      <rPr>
        <sz val="14"/>
        <rFont val="Tahoma"/>
        <family val="2"/>
      </rPr>
      <t xml:space="preserve"> </t>
    </r>
    <r>
      <rPr>
        <sz val="8"/>
        <rFont val="Tahoma"/>
        <family val="2"/>
      </rPr>
      <t xml:space="preserve">or </t>
    </r>
    <r>
      <rPr>
        <sz val="14"/>
        <rFont val="Tahoma"/>
        <family val="2"/>
      </rPr>
      <t>-</t>
    </r>
  </si>
  <si>
    <t>VALORE ASSUNTO</t>
  </si>
  <si>
    <t>max.admitted pressure</t>
  </si>
  <si>
    <t>pressione massima  ammessa</t>
  </si>
  <si>
    <t>a &gt;&gt; b</t>
  </si>
  <si>
    <t>deve essere a&gt;&gt;b</t>
  </si>
  <si>
    <t>must be a&gt;&gt;b</t>
  </si>
  <si>
    <t>Verifica dei tubi ovali, a forte spessore, sottoposti a pressione interna.</t>
  </si>
  <si>
    <t>Calculation of oval heavy tubing under an internal pressure.</t>
  </si>
  <si>
    <t>Il programma si basa sul metodo di calcolo a suo tempo  pubblicato dall'ing  Blajean.</t>
  </si>
  <si>
    <t>valori di</t>
  </si>
  <si>
    <t>confronto</t>
  </si>
  <si>
    <t>momenti resistenti</t>
  </si>
  <si>
    <t>section moduluses</t>
  </si>
  <si>
    <r>
      <t xml:space="preserve">intradosso, intr. </t>
    </r>
    <r>
      <rPr>
        <sz val="10"/>
        <color indexed="12"/>
        <rFont val="Arial"/>
        <family val="2"/>
      </rPr>
      <t>internal fibre</t>
    </r>
  </si>
  <si>
    <r>
      <t xml:space="preserve">intr. </t>
    </r>
    <r>
      <rPr>
        <sz val="10"/>
        <color indexed="12"/>
        <rFont val="Arial"/>
        <family val="2"/>
      </rPr>
      <t>internal fibre</t>
    </r>
  </si>
  <si>
    <r>
      <t>estr.</t>
    </r>
    <r>
      <rPr>
        <sz val="10"/>
        <color indexed="15"/>
        <rFont val="Arial"/>
        <family val="2"/>
      </rPr>
      <t xml:space="preserve"> </t>
    </r>
    <r>
      <rPr>
        <sz val="10"/>
        <color indexed="12"/>
        <rFont val="Arial"/>
        <family val="2"/>
      </rPr>
      <t>external fibre</t>
    </r>
  </si>
  <si>
    <r>
      <t>sen</t>
    </r>
    <r>
      <rPr>
        <sz val="16"/>
        <color indexed="15"/>
        <rFont val="Symbol"/>
        <family val="1"/>
      </rPr>
      <t xml:space="preserve"> p</t>
    </r>
    <r>
      <rPr>
        <sz val="10"/>
        <color indexed="15"/>
        <rFont val="Arial"/>
        <family val="0"/>
      </rPr>
      <t>/2 =</t>
    </r>
  </si>
  <si>
    <r>
      <t>e*sen</t>
    </r>
    <r>
      <rPr>
        <sz val="16"/>
        <color indexed="15"/>
        <rFont val="Symbol"/>
        <family val="1"/>
      </rPr>
      <t xml:space="preserve"> p</t>
    </r>
    <r>
      <rPr>
        <sz val="10"/>
        <color indexed="15"/>
        <rFont val="Arial"/>
        <family val="0"/>
      </rPr>
      <t>/2 =</t>
    </r>
  </si>
  <si>
    <r>
      <t>arcsen e*sen</t>
    </r>
    <r>
      <rPr>
        <sz val="16"/>
        <color indexed="15"/>
        <rFont val="Symbol"/>
        <family val="1"/>
      </rPr>
      <t xml:space="preserve"> p</t>
    </r>
    <r>
      <rPr>
        <sz val="10"/>
        <color indexed="15"/>
        <rFont val="Arial"/>
        <family val="0"/>
      </rPr>
      <t>/2 =</t>
    </r>
  </si>
  <si>
    <r>
      <t>arcsen e*sen</t>
    </r>
    <r>
      <rPr>
        <sz val="16"/>
        <color indexed="15"/>
        <rFont val="Symbol"/>
        <family val="1"/>
      </rPr>
      <t xml:space="preserve"> </t>
    </r>
    <r>
      <rPr>
        <sz val="12"/>
        <color indexed="15"/>
        <rFont val="Symbol"/>
        <family val="1"/>
      </rPr>
      <t>0</t>
    </r>
    <r>
      <rPr>
        <sz val="10"/>
        <color indexed="15"/>
        <rFont val="Arial"/>
        <family val="0"/>
      </rPr>
      <t xml:space="preserve"> =</t>
    </r>
  </si>
  <si>
    <t>Il Foglio 3 è esclusivamente un foglio di calcolo.</t>
  </si>
  <si>
    <t>Importante scrivere "si" o "no" nella cella S26 al Foglio 2.</t>
  </si>
  <si>
    <t>sono leggibili al Foglio 2.</t>
  </si>
  <si>
    <t>Alcuni box di controllo avvisano se i valori sono validi o no.</t>
  </si>
  <si>
    <t>chosen value</t>
  </si>
  <si>
    <t>Il programma è valido per tubi ovali, se a fine deformazione restano ancora ovali.</t>
  </si>
  <si>
    <t>Si tratta di un  metodo sufficentemente rigoroso .</t>
  </si>
  <si>
    <t xml:space="preserve">Nel caso invece che la pressione deformi il tubo, in origine ovale, sin oltre la forma circolare, </t>
  </si>
  <si>
    <t>si rinvia al programma "mantelli 2" attualmente in fase di allestimento.</t>
  </si>
  <si>
    <r>
      <t xml:space="preserve">Pertanto i valori di </t>
    </r>
    <r>
      <rPr>
        <i/>
        <sz val="14"/>
        <rFont val="Arial"/>
        <family val="2"/>
      </rPr>
      <t>INPUT</t>
    </r>
    <r>
      <rPr>
        <sz val="14"/>
        <rFont val="Arial"/>
        <family val="2"/>
      </rPr>
      <t xml:space="preserve"> sono da inserire al Foglio 2 ed i valori di</t>
    </r>
    <r>
      <rPr>
        <i/>
        <sz val="14"/>
        <rFont val="Arial"/>
        <family val="2"/>
      </rPr>
      <t xml:space="preserve"> OUTPUT</t>
    </r>
  </si>
  <si>
    <t>Con il "no" il programma opera con i dati da inserire nell'intervallo - S32:T35 -  Foglio 2.</t>
  </si>
  <si>
    <t>From a Blajean study.</t>
  </si>
  <si>
    <t>Valid for oval shaped tubing provided that be oval at final shape too.</t>
  </si>
  <si>
    <t xml:space="preserve">For initial oval tubing but becoming circular at final shape, go to " mantelli 2 " program, still in progress. </t>
  </si>
  <si>
    <t>It's important writing "si" or "no" into cell S26 Foglio 2.</t>
  </si>
  <si>
    <t>Some control boxes show the actual  valid values.</t>
  </si>
  <si>
    <t>Foglio 3 : for calculation only.</t>
  </si>
  <si>
    <r>
      <t xml:space="preserve">If it occurs you can read NON VALIDO close to </t>
    </r>
    <r>
      <rPr>
        <i/>
        <sz val="14"/>
        <color indexed="12"/>
        <rFont val="Arial"/>
        <family val="2"/>
      </rPr>
      <t>OUTPUT.</t>
    </r>
  </si>
  <si>
    <r>
      <t>For INPUT</t>
    </r>
    <r>
      <rPr>
        <sz val="14"/>
        <color indexed="12"/>
        <rFont val="Arial"/>
        <family val="2"/>
      </rPr>
      <t xml:space="preserve"> and</t>
    </r>
    <r>
      <rPr>
        <i/>
        <sz val="14"/>
        <color indexed="12"/>
        <rFont val="Arial"/>
        <family val="2"/>
      </rPr>
      <t xml:space="preserve"> OUTPUT</t>
    </r>
    <r>
      <rPr>
        <sz val="14"/>
        <color indexed="12"/>
        <rFont val="Arial"/>
        <family val="2"/>
      </rPr>
      <t xml:space="preserve"> data: see Foglio 2.</t>
    </r>
  </si>
  <si>
    <t>matching values</t>
  </si>
  <si>
    <t>Belluzzi II pag.249</t>
  </si>
  <si>
    <t xml:space="preserve">matching value </t>
  </si>
  <si>
    <t>valore senza tener conto della</t>
  </si>
  <si>
    <t>senza tener conto della deformazione della sezione</t>
  </si>
  <si>
    <t>shear stress</t>
  </si>
  <si>
    <t xml:space="preserve"> leaving out the section   deformation</t>
  </si>
  <si>
    <t>value leaving out the section change of shape</t>
  </si>
  <si>
    <t xml:space="preserve">elisse </t>
  </si>
  <si>
    <t>profilo qualsiasi escluso cerchio</t>
  </si>
  <si>
    <t>any profile but not circular</t>
  </si>
  <si>
    <t>Il programma NON è valido  nel caso di tubi in origine circolari.</t>
  </si>
  <si>
    <r>
      <t xml:space="preserve"> In queste eventualità, accanto ad </t>
    </r>
    <r>
      <rPr>
        <i/>
        <sz val="14"/>
        <rFont val="Arial"/>
        <family val="2"/>
      </rPr>
      <t>OUTPUT</t>
    </r>
    <r>
      <rPr>
        <sz val="14"/>
        <rFont val="Arial"/>
        <family val="2"/>
      </rPr>
      <t>, compare la scritta NON VALIDO.</t>
    </r>
  </si>
  <si>
    <r>
      <t>Con il "si" il programma considera il tubo di forma</t>
    </r>
    <r>
      <rPr>
        <u val="single"/>
        <sz val="14"/>
        <rFont val="Arial"/>
        <family val="2"/>
      </rPr>
      <t xml:space="preserve"> elittica . </t>
    </r>
  </si>
  <si>
    <t>NOT valid for circular tubing.</t>
  </si>
  <si>
    <t xml:space="preserve">With "si" the  program works an elliptical  tubing. </t>
  </si>
  <si>
    <t>With "no" the  program works  data  from cell S32 to T35, Foglio 2 .</t>
  </si>
  <si>
    <t>Programma da uitlizzare solo per preventivazione o preprogetti.</t>
  </si>
  <si>
    <t>This program to be used for proposals or rough evaluations only</t>
  </si>
  <si>
    <r>
      <t xml:space="preserve">2a+ </t>
    </r>
    <r>
      <rPr>
        <b/>
        <sz val="10"/>
        <rFont val="Symbol"/>
        <family val="1"/>
      </rPr>
      <t>D</t>
    </r>
    <r>
      <rPr>
        <b/>
        <sz val="10"/>
        <rFont val="Arial"/>
        <family val="0"/>
      </rPr>
      <t>2a =</t>
    </r>
  </si>
  <si>
    <r>
      <t xml:space="preserve">2b+ </t>
    </r>
    <r>
      <rPr>
        <b/>
        <sz val="10"/>
        <rFont val="Symbol"/>
        <family val="1"/>
      </rPr>
      <t>D</t>
    </r>
    <r>
      <rPr>
        <b/>
        <sz val="10"/>
        <rFont val="Arial"/>
        <family val="0"/>
      </rPr>
      <t>2b =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</si>
</sst>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E+00"/>
    <numFmt numFmtId="169" formatCode="0E+00"/>
    <numFmt numFmtId="170" formatCode="0.000000"/>
    <numFmt numFmtId="171" formatCode="0.0000000"/>
    <numFmt numFmtId="172" formatCode="0.00000000"/>
  </numFmts>
  <fonts count="74">
    <font>
      <sz val="10"/>
      <name val="Arial"/>
      <family val="0"/>
    </font>
    <font>
      <sz val="16"/>
      <name val="Arial"/>
      <family val="0"/>
    </font>
    <font>
      <sz val="16"/>
      <name val="Symbol"/>
      <family val="1"/>
    </font>
    <font>
      <b/>
      <sz val="16"/>
      <name val="Arial"/>
      <family val="2"/>
    </font>
    <font>
      <b/>
      <sz val="14"/>
      <name val="Tahoma"/>
      <family val="2"/>
    </font>
    <font>
      <sz val="14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2"/>
      <name val="Arial"/>
      <family val="2"/>
    </font>
    <font>
      <sz val="14"/>
      <color indexed="53"/>
      <name val="Arial"/>
      <family val="2"/>
    </font>
    <font>
      <sz val="18"/>
      <name val="Arial"/>
      <family val="2"/>
    </font>
    <font>
      <b/>
      <sz val="18"/>
      <color indexed="8"/>
      <name val="Arial"/>
      <family val="2"/>
    </font>
    <font>
      <sz val="14"/>
      <name val="Symbol"/>
      <family val="1"/>
    </font>
    <font>
      <b/>
      <sz val="12"/>
      <name val="Arial"/>
      <family val="0"/>
    </font>
    <font>
      <b/>
      <sz val="12"/>
      <color indexed="43"/>
      <name val="Arial"/>
      <family val="2"/>
    </font>
    <font>
      <sz val="10"/>
      <name val="Symbol"/>
      <family val="1"/>
    </font>
    <font>
      <sz val="10"/>
      <name val="Tahoma"/>
      <family val="2"/>
    </font>
    <font>
      <b/>
      <sz val="8"/>
      <name val="Tahoma"/>
      <family val="0"/>
    </font>
    <font>
      <sz val="12"/>
      <name val="Symbol"/>
      <family val="1"/>
    </font>
    <font>
      <sz val="12"/>
      <name val="Tahoma"/>
      <family val="2"/>
    </font>
    <font>
      <b/>
      <sz val="14"/>
      <color indexed="12"/>
      <name val="Arial"/>
      <family val="2"/>
    </font>
    <font>
      <sz val="10"/>
      <color indexed="12"/>
      <name val="Tahoma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8"/>
      <color indexed="48"/>
      <name val="Tahoma"/>
      <family val="2"/>
    </font>
    <font>
      <b/>
      <sz val="12"/>
      <color indexed="13"/>
      <name val="Arial"/>
      <family val="2"/>
    </font>
    <font>
      <b/>
      <u val="single"/>
      <sz val="10"/>
      <name val="Arial"/>
      <family val="2"/>
    </font>
    <font>
      <sz val="10"/>
      <color indexed="1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color indexed="12"/>
      <name val="Arial"/>
      <family val="2"/>
    </font>
    <font>
      <sz val="12"/>
      <color indexed="13"/>
      <name val="Arial"/>
      <family val="2"/>
    </font>
    <font>
      <b/>
      <sz val="8"/>
      <color indexed="10"/>
      <name val="Tahoma"/>
      <family val="2"/>
    </font>
    <font>
      <b/>
      <sz val="14"/>
      <color indexed="10"/>
      <name val="Tahoma"/>
      <family val="2"/>
    </font>
    <font>
      <b/>
      <i/>
      <sz val="8"/>
      <name val="Tahoma"/>
      <family val="2"/>
    </font>
    <font>
      <b/>
      <sz val="10"/>
      <color indexed="9"/>
      <name val="Arial"/>
      <family val="2"/>
    </font>
    <font>
      <b/>
      <sz val="10"/>
      <color indexed="15"/>
      <name val="Arial"/>
      <family val="2"/>
    </font>
    <font>
      <sz val="10"/>
      <color indexed="15"/>
      <name val="@Arial Unicode MS"/>
      <family val="2"/>
    </font>
    <font>
      <sz val="8"/>
      <color indexed="12"/>
      <name val="Arial"/>
      <family val="2"/>
    </font>
    <font>
      <b/>
      <u val="single"/>
      <sz val="8"/>
      <name val="Arial"/>
      <family val="2"/>
    </font>
    <font>
      <b/>
      <sz val="20"/>
      <color indexed="12"/>
      <name val="Arial"/>
      <family val="2"/>
    </font>
    <font>
      <sz val="12"/>
      <color indexed="15"/>
      <name val="Arial"/>
      <family val="2"/>
    </font>
    <font>
      <b/>
      <i/>
      <sz val="16"/>
      <name val="Arial"/>
      <family val="2"/>
    </font>
    <font>
      <b/>
      <sz val="10"/>
      <name val="Symbol"/>
      <family val="1"/>
    </font>
    <font>
      <sz val="14"/>
      <name val="Tahoma"/>
      <family val="2"/>
    </font>
    <font>
      <sz val="14"/>
      <color indexed="15"/>
      <name val="Symbol"/>
      <family val="1"/>
    </font>
    <font>
      <sz val="12"/>
      <color indexed="15"/>
      <name val="Symbol"/>
      <family val="1"/>
    </font>
    <font>
      <i/>
      <u val="single"/>
      <sz val="14"/>
      <name val="Symbol"/>
      <family val="1"/>
    </font>
    <font>
      <b/>
      <sz val="11"/>
      <name val="Tahoma"/>
      <family val="2"/>
    </font>
    <font>
      <b/>
      <sz val="11"/>
      <color indexed="12"/>
      <name val="Tahoma"/>
      <family val="2"/>
    </font>
    <font>
      <b/>
      <u val="single"/>
      <sz val="8"/>
      <name val="Tahoma"/>
      <family val="2"/>
    </font>
    <font>
      <b/>
      <u val="single"/>
      <sz val="8"/>
      <color indexed="12"/>
      <name val="Tahoma"/>
      <family val="2"/>
    </font>
    <font>
      <b/>
      <i/>
      <u val="single"/>
      <sz val="8"/>
      <name val="Tahoma"/>
      <family val="2"/>
    </font>
    <font>
      <b/>
      <i/>
      <u val="single"/>
      <sz val="8"/>
      <color indexed="12"/>
      <name val="Tahoma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color indexed="12"/>
      <name val="Arial"/>
      <family val="2"/>
    </font>
    <font>
      <sz val="10"/>
      <color indexed="15"/>
      <name val="Symbol"/>
      <family val="1"/>
    </font>
    <font>
      <sz val="16"/>
      <color indexed="15"/>
      <name val="Symbol"/>
      <family val="1"/>
    </font>
    <font>
      <i/>
      <sz val="14"/>
      <name val="Arial"/>
      <family val="2"/>
    </font>
    <font>
      <u val="single"/>
      <sz val="14"/>
      <name val="Arial"/>
      <family val="2"/>
    </font>
    <font>
      <sz val="14"/>
      <color indexed="12"/>
      <name val="Arial"/>
      <family val="2"/>
    </font>
    <font>
      <i/>
      <sz val="14"/>
      <color indexed="12"/>
      <name val="Arial"/>
      <family val="2"/>
    </font>
    <font>
      <u val="single"/>
      <sz val="14"/>
      <color indexed="12"/>
      <name val="Arial"/>
      <family val="2"/>
    </font>
    <font>
      <b/>
      <i/>
      <u val="single"/>
      <sz val="14"/>
      <name val="Arial"/>
      <family val="2"/>
    </font>
    <font>
      <i/>
      <u val="single"/>
      <sz val="16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2" fillId="3" borderId="0" xfId="0" applyFont="1" applyFill="1" applyAlignment="1">
      <alignment/>
    </xf>
    <xf numFmtId="0" fontId="0" fillId="3" borderId="0" xfId="0" applyFill="1" applyAlignment="1">
      <alignment/>
    </xf>
    <xf numFmtId="0" fontId="23" fillId="3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/>
    </xf>
    <xf numFmtId="0" fontId="1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4" fillId="2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9" fillId="4" borderId="0" xfId="0" applyFont="1" applyFill="1" applyAlignment="1">
      <alignment horizontal="right"/>
    </xf>
    <xf numFmtId="0" fontId="23" fillId="0" borderId="0" xfId="0" applyFont="1" applyAlignment="1">
      <alignment horizontal="right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9" fillId="4" borderId="2" xfId="0" applyFont="1" applyFill="1" applyBorder="1" applyAlignment="1">
      <alignment/>
    </xf>
    <xf numFmtId="0" fontId="29" fillId="4" borderId="0" xfId="0" applyFont="1" applyFill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8" fillId="0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" fontId="3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9" fillId="0" borderId="0" xfId="0" applyFont="1" applyFill="1" applyBorder="1" applyAlignment="1">
      <alignment/>
    </xf>
    <xf numFmtId="0" fontId="29" fillId="4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4" borderId="0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34" fillId="0" borderId="0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4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35" fillId="0" borderId="7" xfId="0" applyFont="1" applyFill="1" applyBorder="1" applyAlignment="1">
      <alignment horizontal="right"/>
    </xf>
    <xf numFmtId="0" fontId="30" fillId="0" borderId="8" xfId="0" applyFont="1" applyFill="1" applyBorder="1" applyAlignment="1">
      <alignment/>
    </xf>
    <xf numFmtId="0" fontId="30" fillId="0" borderId="9" xfId="0" applyFont="1" applyBorder="1" applyAlignment="1">
      <alignment/>
    </xf>
    <xf numFmtId="0" fontId="35" fillId="0" borderId="10" xfId="0" applyFont="1" applyFill="1" applyBorder="1" applyAlignment="1">
      <alignment horizontal="right"/>
    </xf>
    <xf numFmtId="0" fontId="30" fillId="0" borderId="11" xfId="0" applyFont="1" applyBorder="1" applyAlignment="1">
      <alignment/>
    </xf>
    <xf numFmtId="0" fontId="36" fillId="0" borderId="10" xfId="0" applyFont="1" applyFill="1" applyBorder="1" applyAlignment="1">
      <alignment horizontal="right"/>
    </xf>
    <xf numFmtId="0" fontId="30" fillId="0" borderId="1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1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12" fillId="0" borderId="0" xfId="0" applyFont="1" applyAlignment="1">
      <alignment horizontal="right"/>
    </xf>
    <xf numFmtId="0" fontId="30" fillId="0" borderId="0" xfId="0" applyFont="1" applyBorder="1" applyAlignment="1">
      <alignment/>
    </xf>
    <xf numFmtId="0" fontId="30" fillId="3" borderId="11" xfId="0" applyFont="1" applyFill="1" applyBorder="1" applyAlignment="1">
      <alignment/>
    </xf>
    <xf numFmtId="1" fontId="0" fillId="0" borderId="0" xfId="0" applyNumberFormat="1" applyAlignment="1">
      <alignment/>
    </xf>
    <xf numFmtId="0" fontId="35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3" borderId="10" xfId="0" applyFill="1" applyBorder="1" applyAlignment="1">
      <alignment/>
    </xf>
    <xf numFmtId="0" fontId="37" fillId="0" borderId="0" xfId="0" applyFont="1" applyAlignment="1">
      <alignment/>
    </xf>
    <xf numFmtId="0" fontId="27" fillId="2" borderId="12" xfId="0" applyFont="1" applyFill="1" applyBorder="1" applyAlignment="1">
      <alignment horizontal="center"/>
    </xf>
    <xf numFmtId="0" fontId="38" fillId="2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2" fontId="27" fillId="2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9" fillId="4" borderId="0" xfId="0" applyFont="1" applyFill="1" applyAlignment="1">
      <alignment/>
    </xf>
    <xf numFmtId="1" fontId="29" fillId="4" borderId="0" xfId="0" applyNumberFormat="1" applyFont="1" applyFill="1" applyAlignment="1">
      <alignment/>
    </xf>
    <xf numFmtId="0" fontId="42" fillId="5" borderId="0" xfId="0" applyFont="1" applyFill="1" applyAlignment="1">
      <alignment/>
    </xf>
    <xf numFmtId="0" fontId="43" fillId="4" borderId="0" xfId="0" applyFont="1" applyFill="1" applyBorder="1" applyAlignment="1">
      <alignment horizontal="center"/>
    </xf>
    <xf numFmtId="1" fontId="44" fillId="4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/>
    </xf>
    <xf numFmtId="1" fontId="22" fillId="0" borderId="4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12" fillId="3" borderId="14" xfId="0" applyFont="1" applyFill="1" applyBorder="1" applyAlignment="1">
      <alignment/>
    </xf>
    <xf numFmtId="0" fontId="30" fillId="3" borderId="15" xfId="0" applyFont="1" applyFill="1" applyBorder="1" applyAlignment="1">
      <alignment/>
    </xf>
    <xf numFmtId="1" fontId="22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 quotePrefix="1">
      <alignment/>
    </xf>
    <xf numFmtId="0" fontId="0" fillId="0" borderId="0" xfId="0" applyFill="1" applyBorder="1" applyAlignment="1" quotePrefix="1">
      <alignment/>
    </xf>
    <xf numFmtId="0" fontId="23" fillId="0" borderId="0" xfId="0" applyFont="1" applyFill="1" applyBorder="1" applyAlignment="1" quotePrefix="1">
      <alignment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2" fillId="3" borderId="16" xfId="0" applyFont="1" applyFill="1" applyBorder="1" applyAlignment="1">
      <alignment horizontal="right"/>
    </xf>
    <xf numFmtId="10" fontId="35" fillId="0" borderId="0" xfId="0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3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right"/>
    </xf>
    <xf numFmtId="0" fontId="29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49" fillId="0" borderId="0" xfId="0" applyFont="1" applyAlignment="1">
      <alignment/>
    </xf>
    <xf numFmtId="0" fontId="12" fillId="3" borderId="14" xfId="0" applyFont="1" applyFill="1" applyBorder="1" applyAlignment="1">
      <alignment horizontal="right"/>
    </xf>
    <xf numFmtId="0" fontId="30" fillId="3" borderId="0" xfId="0" applyFont="1" applyFill="1" applyBorder="1" applyAlignment="1">
      <alignment/>
    </xf>
    <xf numFmtId="0" fontId="12" fillId="3" borderId="10" xfId="0" applyFont="1" applyFill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6" borderId="0" xfId="0" applyFill="1" applyAlignment="1">
      <alignment/>
    </xf>
    <xf numFmtId="0" fontId="0" fillId="0" borderId="5" xfId="0" applyBorder="1" applyAlignment="1">
      <alignment horizontal="center"/>
    </xf>
    <xf numFmtId="0" fontId="12" fillId="0" borderId="0" xfId="0" applyFont="1" applyBorder="1" applyAlignment="1">
      <alignment/>
    </xf>
    <xf numFmtId="0" fontId="29" fillId="4" borderId="0" xfId="0" applyFont="1" applyFill="1" applyBorder="1" applyAlignment="1">
      <alignment horizontal="right"/>
    </xf>
    <xf numFmtId="0" fontId="29" fillId="4" borderId="0" xfId="0" applyFont="1" applyFill="1" applyAlignment="1">
      <alignment/>
    </xf>
    <xf numFmtId="0" fontId="52" fillId="4" borderId="0" xfId="0" applyFont="1" applyFill="1" applyAlignment="1">
      <alignment horizontal="right"/>
    </xf>
    <xf numFmtId="0" fontId="13" fillId="0" borderId="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8" fillId="4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right"/>
    </xf>
    <xf numFmtId="0" fontId="0" fillId="0" borderId="1" xfId="0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0" fillId="6" borderId="0" xfId="0" applyFill="1" applyBorder="1" applyAlignment="1">
      <alignment/>
    </xf>
    <xf numFmtId="0" fontId="12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0" fontId="15" fillId="3" borderId="0" xfId="0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2" fontId="0" fillId="0" borderId="5" xfId="0" applyNumberFormat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0" fontId="61" fillId="0" borderId="0" xfId="0" applyFont="1" applyAlignment="1">
      <alignment/>
    </xf>
    <xf numFmtId="0" fontId="22" fillId="3" borderId="0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12" fillId="0" borderId="0" xfId="0" applyFont="1" applyBorder="1" applyAlignment="1">
      <alignment horizontal="right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 vertical="top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42" fillId="7" borderId="0" xfId="0" applyFont="1" applyFill="1" applyBorder="1" applyAlignment="1">
      <alignment/>
    </xf>
    <xf numFmtId="0" fontId="42" fillId="7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64" fillId="0" borderId="0" xfId="0" applyFont="1" applyFill="1" applyBorder="1" applyAlignment="1">
      <alignment/>
    </xf>
    <xf numFmtId="0" fontId="62" fillId="8" borderId="6" xfId="0" applyFont="1" applyFill="1" applyBorder="1" applyAlignment="1">
      <alignment horizontal="right"/>
    </xf>
    <xf numFmtId="0" fontId="63" fillId="8" borderId="0" xfId="0" applyFont="1" applyFill="1" applyBorder="1" applyAlignment="1">
      <alignment/>
    </xf>
    <xf numFmtId="0" fontId="0" fillId="8" borderId="0" xfId="0" applyFill="1" applyAlignment="1">
      <alignment/>
    </xf>
    <xf numFmtId="0" fontId="0" fillId="8" borderId="0" xfId="0" applyFont="1" applyFill="1" applyBorder="1" applyAlignment="1">
      <alignment/>
    </xf>
    <xf numFmtId="0" fontId="0" fillId="8" borderId="0" xfId="0" applyFill="1" applyBorder="1" applyAlignment="1">
      <alignment/>
    </xf>
    <xf numFmtId="0" fontId="62" fillId="8" borderId="12" xfId="0" applyFont="1" applyFill="1" applyBorder="1" applyAlignment="1">
      <alignment horizontal="right"/>
    </xf>
    <xf numFmtId="0" fontId="63" fillId="8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63" fillId="8" borderId="1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right"/>
    </xf>
    <xf numFmtId="1" fontId="22" fillId="3" borderId="5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right"/>
    </xf>
    <xf numFmtId="0" fontId="22" fillId="3" borderId="5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30" fillId="0" borderId="0" xfId="0" applyFont="1" applyFill="1" applyBorder="1" applyAlignment="1">
      <alignment horizontal="right"/>
    </xf>
    <xf numFmtId="1" fontId="30" fillId="0" borderId="0" xfId="0" applyNumberFormat="1" applyFont="1" applyFill="1" applyBorder="1" applyAlignment="1">
      <alignment horizontal="center"/>
    </xf>
    <xf numFmtId="0" fontId="65" fillId="4" borderId="0" xfId="0" applyFont="1" applyFill="1" applyAlignment="1">
      <alignment horizontal="right"/>
    </xf>
    <xf numFmtId="0" fontId="29" fillId="4" borderId="0" xfId="0" applyFont="1" applyFill="1" applyAlignment="1">
      <alignment horizontal="right"/>
    </xf>
    <xf numFmtId="0" fontId="29" fillId="4" borderId="0" xfId="0" applyFont="1" applyFill="1" applyAlignment="1">
      <alignment horizontal="center"/>
    </xf>
    <xf numFmtId="165" fontId="32" fillId="0" borderId="1" xfId="0" applyNumberFormat="1" applyFont="1" applyBorder="1" applyAlignment="1">
      <alignment horizontal="center"/>
    </xf>
    <xf numFmtId="165" fontId="22" fillId="0" borderId="5" xfId="0" applyNumberFormat="1" applyFont="1" applyBorder="1" applyAlignment="1">
      <alignment horizontal="center"/>
    </xf>
    <xf numFmtId="0" fontId="69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1" fontId="29" fillId="4" borderId="1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left"/>
    </xf>
    <xf numFmtId="0" fontId="13" fillId="0" borderId="6" xfId="0" applyFont="1" applyFill="1" applyBorder="1" applyAlignment="1">
      <alignment horizontal="center"/>
    </xf>
    <xf numFmtId="0" fontId="0" fillId="4" borderId="0" xfId="0" applyFont="1" applyFill="1" applyAlignment="1">
      <alignment/>
    </xf>
    <xf numFmtId="2" fontId="63" fillId="8" borderId="1" xfId="0" applyNumberFormat="1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65</xdr:row>
      <xdr:rowOff>76200</xdr:rowOff>
    </xdr:from>
    <xdr:to>
      <xdr:col>7</xdr:col>
      <xdr:colOff>38100</xdr:colOff>
      <xdr:row>66</xdr:row>
      <xdr:rowOff>47625</xdr:rowOff>
    </xdr:to>
    <xdr:sp>
      <xdr:nvSpPr>
        <xdr:cNvPr id="1" name="Oval 288"/>
        <xdr:cNvSpPr>
          <a:spLocks/>
        </xdr:cNvSpPr>
      </xdr:nvSpPr>
      <xdr:spPr>
        <a:xfrm>
          <a:off x="4324350" y="12906375"/>
          <a:ext cx="85725" cy="1333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73</xdr:row>
      <xdr:rowOff>66675</xdr:rowOff>
    </xdr:from>
    <xdr:to>
      <xdr:col>8</xdr:col>
      <xdr:colOff>485775</xdr:colOff>
      <xdr:row>74</xdr:row>
      <xdr:rowOff>28575</xdr:rowOff>
    </xdr:to>
    <xdr:sp>
      <xdr:nvSpPr>
        <xdr:cNvPr id="2" name="Oval 289"/>
        <xdr:cNvSpPr>
          <a:spLocks/>
        </xdr:cNvSpPr>
      </xdr:nvSpPr>
      <xdr:spPr>
        <a:xfrm>
          <a:off x="5848350" y="14192250"/>
          <a:ext cx="95250" cy="1238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38</xdr:row>
      <xdr:rowOff>123825</xdr:rowOff>
    </xdr:from>
    <xdr:to>
      <xdr:col>5</xdr:col>
      <xdr:colOff>342900</xdr:colOff>
      <xdr:row>52</xdr:row>
      <xdr:rowOff>57150</xdr:rowOff>
    </xdr:to>
    <xdr:grpSp>
      <xdr:nvGrpSpPr>
        <xdr:cNvPr id="3" name="Group 491"/>
        <xdr:cNvGrpSpPr>
          <a:grpSpLocks/>
        </xdr:cNvGrpSpPr>
      </xdr:nvGrpSpPr>
      <xdr:grpSpPr>
        <a:xfrm>
          <a:off x="723900" y="8153400"/>
          <a:ext cx="2667000" cy="2266950"/>
          <a:chOff x="76" y="732"/>
          <a:chExt cx="280" cy="240"/>
        </a:xfrm>
        <a:solidFill>
          <a:srgbClr val="FFFFFF"/>
        </a:solidFill>
      </xdr:grpSpPr>
      <xdr:sp>
        <xdr:nvSpPr>
          <xdr:cNvPr id="4" name="Line 33"/>
          <xdr:cNvSpPr>
            <a:spLocks/>
          </xdr:cNvSpPr>
        </xdr:nvSpPr>
        <xdr:spPr>
          <a:xfrm>
            <a:off x="164" y="732"/>
            <a:ext cx="0" cy="22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" name="Group 490"/>
          <xdr:cNvGrpSpPr>
            <a:grpSpLocks/>
          </xdr:cNvGrpSpPr>
        </xdr:nvGrpSpPr>
        <xdr:grpSpPr>
          <a:xfrm>
            <a:off x="76" y="757"/>
            <a:ext cx="280" cy="215"/>
            <a:chOff x="76" y="757"/>
            <a:chExt cx="280" cy="215"/>
          </a:xfrm>
          <a:solidFill>
            <a:srgbClr val="FFFFFF"/>
          </a:solidFill>
        </xdr:grpSpPr>
        <xdr:sp>
          <xdr:nvSpPr>
            <xdr:cNvPr id="6" name="Line 37"/>
            <xdr:cNvSpPr>
              <a:spLocks/>
            </xdr:cNvSpPr>
          </xdr:nvSpPr>
          <xdr:spPr>
            <a:xfrm>
              <a:off x="315" y="763"/>
              <a:ext cx="0" cy="10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36"/>
            <xdr:cNvSpPr>
              <a:spLocks/>
            </xdr:cNvSpPr>
          </xdr:nvSpPr>
          <xdr:spPr>
            <a:xfrm>
              <a:off x="160" y="923"/>
              <a:ext cx="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8" name="Group 397"/>
            <xdr:cNvGrpSpPr>
              <a:grpSpLocks/>
            </xdr:cNvGrpSpPr>
          </xdr:nvGrpSpPr>
          <xdr:grpSpPr>
            <a:xfrm>
              <a:off x="149" y="757"/>
              <a:ext cx="160" cy="131"/>
              <a:chOff x="152" y="729"/>
              <a:chExt cx="160" cy="126"/>
            </a:xfrm>
            <a:solidFill>
              <a:srgbClr val="FFFFFF"/>
            </a:solidFill>
          </xdr:grpSpPr>
          <xdr:grpSp>
            <xdr:nvGrpSpPr>
              <xdr:cNvPr id="9" name="Group 24"/>
              <xdr:cNvGrpSpPr>
                <a:grpSpLocks/>
              </xdr:cNvGrpSpPr>
            </xdr:nvGrpSpPr>
            <xdr:grpSpPr>
              <a:xfrm>
                <a:off x="164" y="731"/>
                <a:ext cx="106" cy="124"/>
                <a:chOff x="36" y="672"/>
                <a:chExt cx="106" cy="122"/>
              </a:xfrm>
              <a:solidFill>
                <a:srgbClr val="FFFFFF"/>
              </a:solidFill>
            </xdr:grpSpPr>
            <xdr:sp>
              <xdr:nvSpPr>
                <xdr:cNvPr id="10" name="Arc 21"/>
                <xdr:cNvSpPr>
                  <a:spLocks/>
                </xdr:cNvSpPr>
              </xdr:nvSpPr>
              <xdr:spPr>
                <a:xfrm>
                  <a:off x="36" y="672"/>
                  <a:ext cx="89" cy="110"/>
                </a:xfrm>
                <a:prstGeom prst="arc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" name="Rectangle 22"/>
                <xdr:cNvSpPr>
                  <a:spLocks/>
                </xdr:cNvSpPr>
              </xdr:nvSpPr>
              <xdr:spPr>
                <a:xfrm>
                  <a:off x="104" y="776"/>
                  <a:ext cx="38" cy="18"/>
                </a:xfrm>
                <a:prstGeom prst="rect">
                  <a:avLst/>
                </a:prstGeom>
                <a:pattFill prst="smConfetti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2" name="Line 23"/>
              <xdr:cNvSpPr>
                <a:spLocks/>
              </xdr:cNvSpPr>
            </xdr:nvSpPr>
            <xdr:spPr>
              <a:xfrm>
                <a:off x="152" y="729"/>
                <a:ext cx="16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lgDashDot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3" name="Line 38"/>
            <xdr:cNvSpPr>
              <a:spLocks/>
            </xdr:cNvSpPr>
          </xdr:nvSpPr>
          <xdr:spPr>
            <a:xfrm>
              <a:off x="244" y="872"/>
              <a:ext cx="1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41"/>
            <xdr:cNvSpPr>
              <a:spLocks/>
            </xdr:cNvSpPr>
          </xdr:nvSpPr>
          <xdr:spPr>
            <a:xfrm>
              <a:off x="165" y="757"/>
              <a:ext cx="65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prstDash val="dash"/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rc 43"/>
            <xdr:cNvSpPr>
              <a:spLocks/>
            </xdr:cNvSpPr>
          </xdr:nvSpPr>
          <xdr:spPr>
            <a:xfrm flipH="1">
              <a:off x="76" y="760"/>
              <a:ext cx="81" cy="111"/>
            </a:xfrm>
            <a:prstGeom prst="arc">
              <a:avLst>
                <a:gd name="adj" fmla="val 3123800"/>
              </a:avLst>
            </a:prstGeom>
            <a:noFill/>
            <a:ln w="2857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rc 44"/>
            <xdr:cNvSpPr>
              <a:spLocks/>
            </xdr:cNvSpPr>
          </xdr:nvSpPr>
          <xdr:spPr>
            <a:xfrm flipH="1" flipV="1">
              <a:off x="76" y="861"/>
              <a:ext cx="81" cy="111"/>
            </a:xfrm>
            <a:prstGeom prst="arc">
              <a:avLst>
                <a:gd name="adj" fmla="val 3123800"/>
              </a:avLst>
            </a:prstGeom>
            <a:noFill/>
            <a:ln w="2857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rc 48"/>
            <xdr:cNvSpPr>
              <a:spLocks/>
            </xdr:cNvSpPr>
          </xdr:nvSpPr>
          <xdr:spPr>
            <a:xfrm rot="16200000" flipH="1" flipV="1">
              <a:off x="122" y="764"/>
              <a:ext cx="52" cy="36"/>
            </a:xfrm>
            <a:prstGeom prst="arc">
              <a:avLst/>
            </a:prstGeom>
            <a:noFill/>
            <a:ln w="28575" cmpd="sng">
              <a:solidFill>
                <a:srgbClr val="000000"/>
              </a:solidFill>
              <a:prstDash val="dash"/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390525</xdr:colOff>
      <xdr:row>64</xdr:row>
      <xdr:rowOff>9525</xdr:rowOff>
    </xdr:from>
    <xdr:to>
      <xdr:col>5</xdr:col>
      <xdr:colOff>495300</xdr:colOff>
      <xdr:row>64</xdr:row>
      <xdr:rowOff>95250</xdr:rowOff>
    </xdr:to>
    <xdr:sp>
      <xdr:nvSpPr>
        <xdr:cNvPr id="18" name="Oval 296"/>
        <xdr:cNvSpPr>
          <a:spLocks/>
        </xdr:cNvSpPr>
      </xdr:nvSpPr>
      <xdr:spPr>
        <a:xfrm>
          <a:off x="3438525" y="12677775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885825</xdr:colOff>
      <xdr:row>77</xdr:row>
      <xdr:rowOff>9525</xdr:rowOff>
    </xdr:from>
    <xdr:to>
      <xdr:col>8</xdr:col>
      <xdr:colOff>19050</xdr:colOff>
      <xdr:row>77</xdr:row>
      <xdr:rowOff>123825</xdr:rowOff>
    </xdr:to>
    <xdr:sp>
      <xdr:nvSpPr>
        <xdr:cNvPr id="19" name="Line 387"/>
        <xdr:cNvSpPr>
          <a:spLocks/>
        </xdr:cNvSpPr>
      </xdr:nvSpPr>
      <xdr:spPr>
        <a:xfrm flipH="1">
          <a:off x="5257800" y="14782800"/>
          <a:ext cx="219075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74</xdr:row>
      <xdr:rowOff>104775</xdr:rowOff>
    </xdr:from>
    <xdr:to>
      <xdr:col>7</xdr:col>
      <xdr:colOff>628650</xdr:colOff>
      <xdr:row>75</xdr:row>
      <xdr:rowOff>19050</xdr:rowOff>
    </xdr:to>
    <xdr:sp>
      <xdr:nvSpPr>
        <xdr:cNvPr id="20" name="Line 391"/>
        <xdr:cNvSpPr>
          <a:spLocks/>
        </xdr:cNvSpPr>
      </xdr:nvSpPr>
      <xdr:spPr>
        <a:xfrm flipH="1" flipV="1">
          <a:off x="4886325" y="14392275"/>
          <a:ext cx="114300" cy="76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76200</xdr:rowOff>
    </xdr:from>
    <xdr:to>
      <xdr:col>12</xdr:col>
      <xdr:colOff>552450</xdr:colOff>
      <xdr:row>33</xdr:row>
      <xdr:rowOff>171450</xdr:rowOff>
    </xdr:to>
    <xdr:grpSp>
      <xdr:nvGrpSpPr>
        <xdr:cNvPr id="21" name="Group 594"/>
        <xdr:cNvGrpSpPr>
          <a:grpSpLocks/>
        </xdr:cNvGrpSpPr>
      </xdr:nvGrpSpPr>
      <xdr:grpSpPr>
        <a:xfrm>
          <a:off x="1209675" y="76200"/>
          <a:ext cx="8220075" cy="7010400"/>
          <a:chOff x="127" y="8"/>
          <a:chExt cx="863" cy="736"/>
        </a:xfrm>
        <a:solidFill>
          <a:srgbClr val="FFFFFF"/>
        </a:solidFill>
      </xdr:grpSpPr>
      <xdr:grpSp>
        <xdr:nvGrpSpPr>
          <xdr:cNvPr id="22" name="Group 593"/>
          <xdr:cNvGrpSpPr>
            <a:grpSpLocks/>
          </xdr:cNvGrpSpPr>
        </xdr:nvGrpSpPr>
        <xdr:grpSpPr>
          <a:xfrm>
            <a:off x="127" y="8"/>
            <a:ext cx="863" cy="736"/>
            <a:chOff x="127" y="8"/>
            <a:chExt cx="863" cy="736"/>
          </a:xfrm>
          <a:solidFill>
            <a:srgbClr val="FFFFFF"/>
          </a:solidFill>
        </xdr:grpSpPr>
        <xdr:grpSp>
          <xdr:nvGrpSpPr>
            <xdr:cNvPr id="23" name="Group 592"/>
            <xdr:cNvGrpSpPr>
              <a:grpSpLocks/>
            </xdr:cNvGrpSpPr>
          </xdr:nvGrpSpPr>
          <xdr:grpSpPr>
            <a:xfrm>
              <a:off x="127" y="8"/>
              <a:ext cx="863" cy="736"/>
              <a:chOff x="127" y="8"/>
              <a:chExt cx="863" cy="736"/>
            </a:xfrm>
            <a:solidFill>
              <a:srgbClr val="FFFFFF"/>
            </a:solidFill>
          </xdr:grpSpPr>
          <xdr:grpSp>
            <xdr:nvGrpSpPr>
              <xdr:cNvPr id="24" name="Group 591"/>
              <xdr:cNvGrpSpPr>
                <a:grpSpLocks/>
              </xdr:cNvGrpSpPr>
            </xdr:nvGrpSpPr>
            <xdr:grpSpPr>
              <a:xfrm>
                <a:off x="127" y="8"/>
                <a:ext cx="863" cy="736"/>
                <a:chOff x="127" y="8"/>
                <a:chExt cx="863" cy="736"/>
              </a:xfrm>
              <a:solidFill>
                <a:srgbClr val="FFFFFF"/>
              </a:solidFill>
            </xdr:grpSpPr>
            <xdr:grpSp>
              <xdr:nvGrpSpPr>
                <xdr:cNvPr id="25" name="Group 13"/>
                <xdr:cNvGrpSpPr>
                  <a:grpSpLocks/>
                </xdr:cNvGrpSpPr>
              </xdr:nvGrpSpPr>
              <xdr:grpSpPr>
                <a:xfrm>
                  <a:off x="127" y="8"/>
                  <a:ext cx="861" cy="736"/>
                  <a:chOff x="0" y="4"/>
                  <a:chExt cx="697" cy="554"/>
                </a:xfrm>
                <a:solidFill>
                  <a:srgbClr val="FFFFFF"/>
                </a:solidFill>
              </xdr:grpSpPr>
              <xdr:grpSp>
                <xdr:nvGrpSpPr>
                  <xdr:cNvPr id="26" name="Group 3"/>
                  <xdr:cNvGrpSpPr>
                    <a:grpSpLocks/>
                  </xdr:cNvGrpSpPr>
                </xdr:nvGrpSpPr>
                <xdr:grpSpPr>
                  <a:xfrm>
                    <a:off x="0" y="4"/>
                    <a:ext cx="697" cy="554"/>
                    <a:chOff x="0" y="4"/>
                    <a:chExt cx="697" cy="523"/>
                  </a:xfrm>
                  <a:solidFill>
                    <a:srgbClr val="FFFFFF"/>
                  </a:solidFill>
                </xdr:grpSpPr>
                <xdr:pic>
                  <xdr:nvPicPr>
                    <xdr:cNvPr id="27" name="Picture 1"/>
                    <xdr:cNvPicPr preferRelativeResize="1">
                      <a:picLocks noChangeAspect="1"/>
                    </xdr:cNvPicPr>
                  </xdr:nvPicPr>
                  <xdr:blipFill>
                    <a:blip r:embed="rId1"/>
                    <a:stretch>
                      <a:fillRect/>
                    </a:stretch>
                  </xdr:blipFill>
                  <xdr:spPr>
                    <a:xfrm>
                      <a:off x="0" y="4"/>
                      <a:ext cx="697" cy="523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</xdr:pic>
                <xdr:sp>
                  <xdr:nvSpPr>
                    <xdr:cNvPr id="28" name="TextBox 2"/>
                    <xdr:cNvSpPr txBox="1">
                      <a:spLocks noChangeArrowheads="1"/>
                    </xdr:cNvSpPr>
                  </xdr:nvSpPr>
                  <xdr:spPr>
                    <a:xfrm>
                      <a:off x="621" y="285"/>
                      <a:ext cx="16" cy="16"/>
                    </a:xfrm>
                    <a:prstGeom prst="rect">
                      <a:avLst/>
                    </a:prstGeom>
                    <a:solidFill>
                      <a:srgbClr val="FBE9FA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000" b="0" i="0" u="none" baseline="0">
                          <a:latin typeface="Arial"/>
                          <a:ea typeface="Arial"/>
                          <a:cs typeface="Arial"/>
                        </a:rPr>
                        <a:t>c</a:t>
                      </a:r>
                    </a:p>
                  </xdr:txBody>
                </xdr:sp>
              </xdr:grpSp>
              <xdr:sp>
                <xdr:nvSpPr>
                  <xdr:cNvPr id="29" name="Rectangle 12"/>
                  <xdr:cNvSpPr>
                    <a:spLocks/>
                  </xdr:cNvSpPr>
                </xdr:nvSpPr>
                <xdr:spPr>
                  <a:xfrm>
                    <a:off x="103" y="375"/>
                    <a:ext cx="539" cy="19"/>
                  </a:xfrm>
                  <a:prstGeom prst="rect">
                    <a:avLst/>
                  </a:prstGeom>
                  <a:solidFill>
                    <a:srgbClr val="FBE9FA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30" name="TextBox 4"/>
                <xdr:cNvSpPr txBox="1">
                  <a:spLocks noChangeArrowheads="1"/>
                </xdr:cNvSpPr>
              </xdr:nvSpPr>
              <xdr:spPr>
                <a:xfrm>
                  <a:off x="165" y="572"/>
                  <a:ext cx="825" cy="13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0" i="0" u="none" baseline="0">
                      <a:latin typeface="Symbol"/>
                      <a:ea typeface="Symbol"/>
                      <a:cs typeface="Symbol"/>
                    </a:rPr>
                    <a:t>r </a:t>
                  </a:r>
                  <a:r>
                    <a:rPr lang="en-US" cap="none" sz="1000" b="0" i="0" u="none" baseline="0">
                      <a:latin typeface="Tahoma"/>
                      <a:ea typeface="Tahoma"/>
                      <a:cs typeface="Tahoma"/>
                    </a:rPr>
                    <a:t>= raggio di curvatura nel baricentro geometrico G della sezione  scelta. </a:t>
                  </a:r>
                  <a:r>
                    <a:rPr lang="en-US" cap="none" sz="1000" b="0" i="0" u="none" baseline="0">
                      <a:solidFill>
                        <a:srgbClr val="0000FF"/>
                      </a:solidFill>
                      <a:latin typeface="Tahoma"/>
                      <a:ea typeface="Tahoma"/>
                      <a:cs typeface="Tahoma"/>
                    </a:rPr>
                    <a:t>Radius of curve for a chosen bent section on the geometrical centerline, G point.</a:t>
                  </a:r>
                  <a:r>
                    <a:rPr lang="en-US" cap="none" sz="1000" b="0" i="0" u="none" baseline="0">
                      <a:latin typeface="Tahoma"/>
                      <a:ea typeface="Tahoma"/>
                      <a:cs typeface="Tahoma"/>
                    </a:rPr>
                    <a:t>
</a:t>
                  </a:r>
                  <a:r>
                    <a:rPr lang="en-US" cap="none" sz="1000" b="0" i="0" u="none" baseline="0">
                      <a:latin typeface="Symbol"/>
                      <a:ea typeface="Symbol"/>
                      <a:cs typeface="Symbol"/>
                    </a:rPr>
                    <a:t>r</a:t>
                  </a:r>
                  <a:r>
                    <a:rPr lang="en-US" cap="none" sz="1000" b="0" i="0" u="none" baseline="0">
                      <a:latin typeface="Tahoma"/>
                      <a:ea typeface="Tahoma"/>
                      <a:cs typeface="Tahoma"/>
                    </a:rPr>
                    <a:t>' = raggio di curvatura nel baricentro  G' della sezione inflessa scelta , considerando che si è in presenza di una trave a grande curvatura (vedi teoria es. Belluzzi II). </a:t>
                  </a:r>
                  <a:r>
                    <a:rPr lang="en-US" cap="none" sz="1000" b="0" i="0" u="none" baseline="0">
                      <a:solidFill>
                        <a:srgbClr val="0000FF"/>
                      </a:solidFill>
                      <a:latin typeface="Tahoma"/>
                      <a:ea typeface="Tahoma"/>
                      <a:cs typeface="Tahoma"/>
                    </a:rPr>
                    <a:t>Radius of curve  for a chosen bent section evaluated in G' point, as for a beam with an high rate - h/lenght - ( go to the relevant theory).</a:t>
                  </a:r>
                </a:p>
              </xdr:txBody>
            </xdr:sp>
            <xdr:sp>
              <xdr:nvSpPr>
                <xdr:cNvPr id="31" name="TextBox 8"/>
                <xdr:cNvSpPr txBox="1">
                  <a:spLocks noChangeArrowheads="1"/>
                </xdr:cNvSpPr>
              </xdr:nvSpPr>
              <xdr:spPr>
                <a:xfrm>
                  <a:off x="165" y="40"/>
                  <a:ext cx="820" cy="109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1" i="0" u="none" baseline="0">
                      <a:latin typeface="Arial"/>
                      <a:ea typeface="Arial"/>
                      <a:cs typeface="Arial"/>
                    </a:rPr>
                    <a:t>Verifica dei tubi ovali, a forte spessore, sottoposti a pressione interna.
</a:t>
                  </a:r>
                  <a:r>
                    <a:rPr lang="en-US" cap="none" sz="14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rPr>
                    <a:t>Calculation of oval heavy tubing under an internal pressure.</a:t>
                  </a:r>
                </a:p>
              </xdr:txBody>
            </xdr:sp>
          </xdr:grpSp>
          <xdr:sp>
            <xdr:nvSpPr>
              <xdr:cNvPr id="32" name="Arc 17"/>
              <xdr:cNvSpPr>
                <a:spLocks/>
              </xdr:cNvSpPr>
            </xdr:nvSpPr>
            <xdr:spPr>
              <a:xfrm flipH="1">
                <a:off x="180" y="328"/>
                <a:ext cx="66" cy="100"/>
              </a:xfrm>
              <a:prstGeom prst="arc">
                <a:avLst/>
              </a:prstGeom>
              <a:noFill/>
              <a:ln w="19050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" name="Arc 18"/>
              <xdr:cNvSpPr>
                <a:spLocks/>
              </xdr:cNvSpPr>
            </xdr:nvSpPr>
            <xdr:spPr>
              <a:xfrm flipH="1" flipV="1">
                <a:off x="180" y="432"/>
                <a:ext cx="66" cy="101"/>
              </a:xfrm>
              <a:prstGeom prst="arc">
                <a:avLst/>
              </a:prstGeom>
              <a:noFill/>
              <a:ln w="19050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" name="Arc 19"/>
              <xdr:cNvSpPr>
                <a:spLocks/>
              </xdr:cNvSpPr>
            </xdr:nvSpPr>
            <xdr:spPr>
              <a:xfrm flipV="1">
                <a:off x="244" y="431"/>
                <a:ext cx="66" cy="101"/>
              </a:xfrm>
              <a:prstGeom prst="arc">
                <a:avLst/>
              </a:prstGeom>
              <a:noFill/>
              <a:ln w="19050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5" name="AutoShape 416"/>
            <xdr:cNvSpPr>
              <a:spLocks/>
            </xdr:cNvSpPr>
          </xdr:nvSpPr>
          <xdr:spPr>
            <a:xfrm flipV="1">
              <a:off x="848" y="287"/>
              <a:ext cx="114" cy="108"/>
            </a:xfrm>
            <a:prstGeom prst="trapezoid">
              <a:avLst>
                <a:gd name="adj" fmla="val -27347"/>
              </a:avLst>
            </a:prstGeom>
            <a:noFill/>
            <a:ln w="28575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" name="Line 417"/>
          <xdr:cNvSpPr>
            <a:spLocks/>
          </xdr:cNvSpPr>
        </xdr:nvSpPr>
        <xdr:spPr>
          <a:xfrm>
            <a:off x="841" y="359"/>
            <a:ext cx="139" cy="1"/>
          </a:xfrm>
          <a:prstGeom prst="line">
            <a:avLst/>
          </a:prstGeom>
          <a:noFill/>
          <a:ln w="9525" cmpd="sng">
            <a:solidFill>
              <a:srgbClr val="FF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571500</xdr:colOff>
      <xdr:row>7</xdr:row>
      <xdr:rowOff>161925</xdr:rowOff>
    </xdr:from>
    <xdr:to>
      <xdr:col>12</xdr:col>
      <xdr:colOff>552450</xdr:colOff>
      <xdr:row>11</xdr:row>
      <xdr:rowOff>38100</xdr:rowOff>
    </xdr:to>
    <xdr:sp>
      <xdr:nvSpPr>
        <xdr:cNvPr id="37" name="TextBox 419"/>
        <xdr:cNvSpPr txBox="1">
          <a:spLocks noChangeArrowheads="1"/>
        </xdr:cNvSpPr>
      </xdr:nvSpPr>
      <xdr:spPr>
        <a:xfrm>
          <a:off x="6772275" y="1714500"/>
          <a:ext cx="26574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causa della piegatura, la sezione h si deforma.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Due to its bend, section h loses the original shape .</a:t>
          </a:r>
        </a:p>
      </xdr:txBody>
    </xdr:sp>
    <xdr:clientData/>
  </xdr:twoCellAnchor>
  <xdr:twoCellAnchor>
    <xdr:from>
      <xdr:col>3</xdr:col>
      <xdr:colOff>552450</xdr:colOff>
      <xdr:row>46</xdr:row>
      <xdr:rowOff>28575</xdr:rowOff>
    </xdr:from>
    <xdr:to>
      <xdr:col>3</xdr:col>
      <xdr:colOff>552450</xdr:colOff>
      <xdr:row>51</xdr:row>
      <xdr:rowOff>152400</xdr:rowOff>
    </xdr:to>
    <xdr:sp>
      <xdr:nvSpPr>
        <xdr:cNvPr id="38" name="Line 442"/>
        <xdr:cNvSpPr>
          <a:spLocks/>
        </xdr:cNvSpPr>
      </xdr:nvSpPr>
      <xdr:spPr>
        <a:xfrm>
          <a:off x="2381250" y="94107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29</xdr:row>
      <xdr:rowOff>9525</xdr:rowOff>
    </xdr:from>
    <xdr:to>
      <xdr:col>18</xdr:col>
      <xdr:colOff>295275</xdr:colOff>
      <xdr:row>30</xdr:row>
      <xdr:rowOff>0</xdr:rowOff>
    </xdr:to>
    <xdr:sp>
      <xdr:nvSpPr>
        <xdr:cNvPr id="39" name="Line 448"/>
        <xdr:cNvSpPr>
          <a:spLocks/>
        </xdr:cNvSpPr>
      </xdr:nvSpPr>
      <xdr:spPr>
        <a:xfrm>
          <a:off x="13887450" y="6181725"/>
          <a:ext cx="0" cy="1619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70</xdr:row>
      <xdr:rowOff>38100</xdr:rowOff>
    </xdr:from>
    <xdr:to>
      <xdr:col>9</xdr:col>
      <xdr:colOff>676275</xdr:colOff>
      <xdr:row>73</xdr:row>
      <xdr:rowOff>104775</xdr:rowOff>
    </xdr:to>
    <xdr:sp>
      <xdr:nvSpPr>
        <xdr:cNvPr id="40" name="Line 327"/>
        <xdr:cNvSpPr>
          <a:spLocks/>
        </xdr:cNvSpPr>
      </xdr:nvSpPr>
      <xdr:spPr>
        <a:xfrm flipV="1">
          <a:off x="5934075" y="13677900"/>
          <a:ext cx="942975" cy="552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23</xdr:row>
      <xdr:rowOff>76200</xdr:rowOff>
    </xdr:from>
    <xdr:to>
      <xdr:col>20</xdr:col>
      <xdr:colOff>295275</xdr:colOff>
      <xdr:row>25</xdr:row>
      <xdr:rowOff>133350</xdr:rowOff>
    </xdr:to>
    <xdr:sp>
      <xdr:nvSpPr>
        <xdr:cNvPr id="41" name="AutoShape 486"/>
        <xdr:cNvSpPr>
          <a:spLocks/>
        </xdr:cNvSpPr>
      </xdr:nvSpPr>
      <xdr:spPr>
        <a:xfrm rot="20344929" flipH="1">
          <a:off x="14592300" y="5248275"/>
          <a:ext cx="1009650" cy="381000"/>
        </a:xfrm>
        <a:prstGeom prst="notch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819150</xdr:colOff>
      <xdr:row>31</xdr:row>
      <xdr:rowOff>28575</xdr:rowOff>
    </xdr:from>
    <xdr:to>
      <xdr:col>15</xdr:col>
      <xdr:colOff>123825</xdr:colOff>
      <xdr:row>37</xdr:row>
      <xdr:rowOff>104775</xdr:rowOff>
    </xdr:to>
    <xdr:sp>
      <xdr:nvSpPr>
        <xdr:cNvPr id="42" name="AutoShape 487"/>
        <xdr:cNvSpPr>
          <a:spLocks/>
        </xdr:cNvSpPr>
      </xdr:nvSpPr>
      <xdr:spPr>
        <a:xfrm>
          <a:off x="11201400" y="6543675"/>
          <a:ext cx="200025" cy="1419225"/>
        </a:xfrm>
        <a:prstGeom prst="lef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828675</xdr:colOff>
      <xdr:row>41</xdr:row>
      <xdr:rowOff>38100</xdr:rowOff>
    </xdr:from>
    <xdr:to>
      <xdr:col>15</xdr:col>
      <xdr:colOff>152400</xdr:colOff>
      <xdr:row>48</xdr:row>
      <xdr:rowOff>104775</xdr:rowOff>
    </xdr:to>
    <xdr:sp>
      <xdr:nvSpPr>
        <xdr:cNvPr id="43" name="AutoShape 488"/>
        <xdr:cNvSpPr>
          <a:spLocks/>
        </xdr:cNvSpPr>
      </xdr:nvSpPr>
      <xdr:spPr>
        <a:xfrm>
          <a:off x="11210925" y="8591550"/>
          <a:ext cx="219075" cy="1228725"/>
        </a:xfrm>
        <a:prstGeom prst="lef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60</xdr:row>
      <xdr:rowOff>28575</xdr:rowOff>
    </xdr:from>
    <xdr:to>
      <xdr:col>10</xdr:col>
      <xdr:colOff>257175</xdr:colOff>
      <xdr:row>84</xdr:row>
      <xdr:rowOff>104775</xdr:rowOff>
    </xdr:to>
    <xdr:grpSp>
      <xdr:nvGrpSpPr>
        <xdr:cNvPr id="44" name="Group 503"/>
        <xdr:cNvGrpSpPr>
          <a:grpSpLocks/>
        </xdr:cNvGrpSpPr>
      </xdr:nvGrpSpPr>
      <xdr:grpSpPr>
        <a:xfrm>
          <a:off x="1171575" y="11915775"/>
          <a:ext cx="6334125" cy="4095750"/>
          <a:chOff x="123" y="1141"/>
          <a:chExt cx="665" cy="416"/>
        </a:xfrm>
        <a:solidFill>
          <a:srgbClr val="FFFFFF"/>
        </a:solidFill>
      </xdr:grpSpPr>
      <xdr:sp>
        <xdr:nvSpPr>
          <xdr:cNvPr id="45" name="Line 414"/>
          <xdr:cNvSpPr>
            <a:spLocks/>
          </xdr:cNvSpPr>
        </xdr:nvSpPr>
        <xdr:spPr>
          <a:xfrm flipH="1">
            <a:off x="193" y="1221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6" name="Group 502"/>
          <xdr:cNvGrpSpPr>
            <a:grpSpLocks/>
          </xdr:cNvGrpSpPr>
        </xdr:nvGrpSpPr>
        <xdr:grpSpPr>
          <a:xfrm>
            <a:off x="123" y="1141"/>
            <a:ext cx="665" cy="416"/>
            <a:chOff x="123" y="1140"/>
            <a:chExt cx="665" cy="416"/>
          </a:xfrm>
          <a:solidFill>
            <a:srgbClr val="FFFFFF"/>
          </a:solidFill>
        </xdr:grpSpPr>
        <xdr:sp>
          <xdr:nvSpPr>
            <xdr:cNvPr id="47" name="Arc 298"/>
            <xdr:cNvSpPr>
              <a:spLocks/>
            </xdr:cNvSpPr>
          </xdr:nvSpPr>
          <xdr:spPr>
            <a:xfrm>
              <a:off x="280" y="1217"/>
              <a:ext cx="342" cy="288"/>
            </a:xfrm>
            <a:prstGeom prst="arc">
              <a:avLst>
                <a:gd name="adj1" fmla="val -25452958"/>
                <a:gd name="adj2" fmla="val -2033222"/>
                <a:gd name="adj3" fmla="val 49402"/>
              </a:avLst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8" name="Group 501"/>
            <xdr:cNvGrpSpPr>
              <a:grpSpLocks/>
            </xdr:cNvGrpSpPr>
          </xdr:nvGrpSpPr>
          <xdr:grpSpPr>
            <a:xfrm>
              <a:off x="123" y="1140"/>
              <a:ext cx="665" cy="416"/>
              <a:chOff x="124" y="1138"/>
              <a:chExt cx="665" cy="424"/>
            </a:xfrm>
            <a:solidFill>
              <a:srgbClr val="FFFFFF"/>
            </a:solidFill>
          </xdr:grpSpPr>
          <xdr:sp>
            <xdr:nvSpPr>
              <xdr:cNvPr id="49" name="Line 286"/>
              <xdr:cNvSpPr>
                <a:spLocks/>
              </xdr:cNvSpPr>
            </xdr:nvSpPr>
            <xdr:spPr>
              <a:xfrm flipH="1">
                <a:off x="485" y="1244"/>
                <a:ext cx="29" cy="28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0" name="Line 377"/>
              <xdr:cNvSpPr>
                <a:spLocks/>
              </xdr:cNvSpPr>
            </xdr:nvSpPr>
            <xdr:spPr>
              <a:xfrm flipH="1">
                <a:off x="409" y="1205"/>
                <a:ext cx="13" cy="31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51" name="Group 500"/>
              <xdr:cNvGrpSpPr>
                <a:grpSpLocks/>
              </xdr:cNvGrpSpPr>
            </xdr:nvGrpSpPr>
            <xdr:grpSpPr>
              <a:xfrm>
                <a:off x="124" y="1138"/>
                <a:ext cx="665" cy="424"/>
                <a:chOff x="124" y="1138"/>
                <a:chExt cx="665" cy="424"/>
              </a:xfrm>
              <a:solidFill>
                <a:srgbClr val="FFFFFF"/>
              </a:solidFill>
            </xdr:grpSpPr>
            <xdr:sp>
              <xdr:nvSpPr>
                <xdr:cNvPr id="52" name="Line 408"/>
                <xdr:cNvSpPr>
                  <a:spLocks/>
                </xdr:cNvSpPr>
              </xdr:nvSpPr>
              <xdr:spPr>
                <a:xfrm flipV="1">
                  <a:off x="599" y="1245"/>
                  <a:ext cx="147" cy="4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triangl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3" name="Line 409"/>
                <xdr:cNvSpPr>
                  <a:spLocks/>
                </xdr:cNvSpPr>
              </xdr:nvSpPr>
              <xdr:spPr>
                <a:xfrm flipV="1">
                  <a:off x="585" y="1275"/>
                  <a:ext cx="154" cy="95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54" name="Group 499"/>
                <xdr:cNvGrpSpPr>
                  <a:grpSpLocks/>
                </xdr:cNvGrpSpPr>
              </xdr:nvGrpSpPr>
              <xdr:grpSpPr>
                <a:xfrm>
                  <a:off x="318" y="1380"/>
                  <a:ext cx="304" cy="92"/>
                  <a:chOff x="318" y="1380"/>
                  <a:chExt cx="304" cy="92"/>
                </a:xfrm>
                <a:solidFill>
                  <a:srgbClr val="FFFFFF"/>
                </a:solidFill>
              </xdr:grpSpPr>
              <xdr:sp>
                <xdr:nvSpPr>
                  <xdr:cNvPr id="55" name="Line 312"/>
                  <xdr:cNvSpPr>
                    <a:spLocks/>
                  </xdr:cNvSpPr>
                </xdr:nvSpPr>
                <xdr:spPr>
                  <a:xfrm flipH="1">
                    <a:off x="318" y="1380"/>
                    <a:ext cx="299" cy="0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FF0000"/>
                    </a:solidFill>
                    <a:prstDash val="lgDashDot"/>
                    <a:headEnd type="arrow"/>
                    <a:tailEnd type="arrow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6" name="Line 313"/>
                  <xdr:cNvSpPr>
                    <a:spLocks/>
                  </xdr:cNvSpPr>
                </xdr:nvSpPr>
                <xdr:spPr>
                  <a:xfrm flipH="1">
                    <a:off x="622" y="1381"/>
                    <a:ext cx="0" cy="91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FF0000"/>
                    </a:solidFill>
                    <a:prstDash val="lgDashDot"/>
                    <a:headEnd type="arrow"/>
                    <a:tailEnd type="arrow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57" name="Group 498"/>
                <xdr:cNvGrpSpPr>
                  <a:grpSpLocks/>
                </xdr:cNvGrpSpPr>
              </xdr:nvGrpSpPr>
              <xdr:grpSpPr>
                <a:xfrm>
                  <a:off x="318" y="1212"/>
                  <a:ext cx="50" cy="272"/>
                  <a:chOff x="318" y="1212"/>
                  <a:chExt cx="50" cy="272"/>
                </a:xfrm>
                <a:solidFill>
                  <a:srgbClr val="FFFFFF"/>
                </a:solidFill>
              </xdr:grpSpPr>
              <xdr:sp>
                <xdr:nvSpPr>
                  <xdr:cNvPr id="58" name="Line 330"/>
                  <xdr:cNvSpPr>
                    <a:spLocks/>
                  </xdr:cNvSpPr>
                </xdr:nvSpPr>
                <xdr:spPr>
                  <a:xfrm flipH="1">
                    <a:off x="318" y="1212"/>
                    <a:ext cx="49" cy="0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FF0000"/>
                    </a:solidFill>
                    <a:prstDash val="lgDashDot"/>
                    <a:headEnd type="arrow"/>
                    <a:tailEnd type="arrow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9" name="Line 331"/>
                  <xdr:cNvSpPr>
                    <a:spLocks/>
                  </xdr:cNvSpPr>
                </xdr:nvSpPr>
                <xdr:spPr>
                  <a:xfrm flipH="1">
                    <a:off x="368" y="1216"/>
                    <a:ext cx="0" cy="268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FF0000"/>
                    </a:solidFill>
                    <a:prstDash val="lgDashDot"/>
                    <a:headEnd type="arrow"/>
                    <a:tailEnd type="arrow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60" name="Group 497"/>
                <xdr:cNvGrpSpPr>
                  <a:grpSpLocks/>
                </xdr:cNvGrpSpPr>
              </xdr:nvGrpSpPr>
              <xdr:grpSpPr>
                <a:xfrm>
                  <a:off x="124" y="1138"/>
                  <a:ext cx="665" cy="424"/>
                  <a:chOff x="124" y="1138"/>
                  <a:chExt cx="665" cy="424"/>
                </a:xfrm>
                <a:solidFill>
                  <a:srgbClr val="FFFFFF"/>
                </a:solidFill>
              </xdr:grpSpPr>
              <xdr:grpSp>
                <xdr:nvGrpSpPr>
                  <xdr:cNvPr id="61" name="Group 496"/>
                  <xdr:cNvGrpSpPr>
                    <a:grpSpLocks/>
                  </xdr:cNvGrpSpPr>
                </xdr:nvGrpSpPr>
                <xdr:grpSpPr>
                  <a:xfrm>
                    <a:off x="313" y="1179"/>
                    <a:ext cx="365" cy="327"/>
                    <a:chOff x="313" y="1179"/>
                    <a:chExt cx="365" cy="327"/>
                  </a:xfrm>
                  <a:solidFill>
                    <a:srgbClr val="FFFFFF"/>
                  </a:solidFill>
                </xdr:grpSpPr>
                <xdr:grpSp>
                  <xdr:nvGrpSpPr>
                    <xdr:cNvPr id="62" name="Group 380"/>
                    <xdr:cNvGrpSpPr>
                      <a:grpSpLocks/>
                    </xdr:cNvGrpSpPr>
                  </xdr:nvGrpSpPr>
                  <xdr:grpSpPr>
                    <a:xfrm>
                      <a:off x="313" y="1179"/>
                      <a:ext cx="365" cy="327"/>
                      <a:chOff x="313" y="1544"/>
                      <a:chExt cx="360" cy="330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63" name="Arc 326"/>
                      <xdr:cNvSpPr>
                        <a:spLocks/>
                      </xdr:cNvSpPr>
                    </xdr:nvSpPr>
                    <xdr:spPr>
                      <a:xfrm rot="1981772">
                        <a:off x="458" y="1611"/>
                        <a:ext cx="117" cy="165"/>
                      </a:xfrm>
                      <a:prstGeom prst="arc">
                        <a:avLst>
                          <a:gd name="adj" fmla="val -19609490"/>
                        </a:avLst>
                      </a:prstGeom>
                      <a:noFill/>
                      <a:ln w="9525" cmpd="sng">
                        <a:solidFill>
                          <a:srgbClr val="FF0000"/>
                        </a:solidFill>
                        <a:headEnd type="arrow"/>
                        <a:tailEnd type="arrow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64" name="Arc 338"/>
                      <xdr:cNvSpPr>
                        <a:spLocks/>
                      </xdr:cNvSpPr>
                    </xdr:nvSpPr>
                    <xdr:spPr>
                      <a:xfrm>
                        <a:off x="314" y="1556"/>
                        <a:ext cx="348" cy="281"/>
                      </a:xfrm>
                      <a:prstGeom prst="arc">
                        <a:avLst/>
                      </a:prstGeom>
                      <a:noFill/>
                      <a:ln w="2857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65" name="Arc 339"/>
                      <xdr:cNvSpPr>
                        <a:spLocks/>
                      </xdr:cNvSpPr>
                    </xdr:nvSpPr>
                    <xdr:spPr>
                      <a:xfrm rot="3381026">
                        <a:off x="508" y="1698"/>
                        <a:ext cx="165" cy="176"/>
                      </a:xfrm>
                      <a:prstGeom prst="arc">
                        <a:avLst>
                          <a:gd name="adj1" fmla="val -31785254"/>
                          <a:gd name="adj2" fmla="val -13699175"/>
                          <a:gd name="adj3" fmla="val -24800"/>
                        </a:avLst>
                      </a:prstGeom>
                      <a:noFill/>
                      <a:ln w="9525" cmpd="sng">
                        <a:solidFill>
                          <a:srgbClr val="FF0000"/>
                        </a:solidFill>
                        <a:headEnd type="arrow"/>
                        <a:tailEnd type="arrow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66" name="Arc 341"/>
                      <xdr:cNvSpPr>
                        <a:spLocks/>
                      </xdr:cNvSpPr>
                    </xdr:nvSpPr>
                    <xdr:spPr>
                      <a:xfrm rot="712095">
                        <a:off x="401" y="1565"/>
                        <a:ext cx="100" cy="165"/>
                      </a:xfrm>
                      <a:prstGeom prst="arc">
                        <a:avLst>
                          <a:gd name="adj" fmla="val -19609490"/>
                        </a:avLst>
                      </a:prstGeom>
                      <a:noFill/>
                      <a:ln w="9525" cmpd="sng">
                        <a:solidFill>
                          <a:srgbClr val="FF0000"/>
                        </a:solidFill>
                        <a:headEnd type="arrow"/>
                        <a:tailEnd type="arrow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67" name="Arc 342"/>
                      <xdr:cNvSpPr>
                        <a:spLocks/>
                      </xdr:cNvSpPr>
                    </xdr:nvSpPr>
                    <xdr:spPr>
                      <a:xfrm rot="21486156">
                        <a:off x="313" y="1544"/>
                        <a:ext cx="109" cy="162"/>
                      </a:xfrm>
                      <a:prstGeom prst="arc">
                        <a:avLst>
                          <a:gd name="adj" fmla="val -19609490"/>
                        </a:avLst>
                      </a:prstGeom>
                      <a:noFill/>
                      <a:ln w="9525" cmpd="sng">
                        <a:solidFill>
                          <a:srgbClr val="FF0000"/>
                        </a:solidFill>
                        <a:headEnd type="arrow"/>
                        <a:tailEnd type="arrow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68" name="Line 403"/>
                    <xdr:cNvSpPr>
                      <a:spLocks/>
                    </xdr:cNvSpPr>
                  </xdr:nvSpPr>
                  <xdr:spPr>
                    <a:xfrm flipH="1">
                      <a:off x="630" y="1366"/>
                      <a:ext cx="45" cy="5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69" name="Line 297"/>
                  <xdr:cNvSpPr>
                    <a:spLocks/>
                  </xdr:cNvSpPr>
                </xdr:nvSpPr>
                <xdr:spPr>
                  <a:xfrm>
                    <a:off x="316" y="1138"/>
                    <a:ext cx="0" cy="404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prstDash val="lgDashDot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0" name="Line 376"/>
                  <xdr:cNvSpPr>
                    <a:spLocks/>
                  </xdr:cNvSpPr>
                </xdr:nvSpPr>
                <xdr:spPr>
                  <a:xfrm flipH="1">
                    <a:off x="562" y="1310"/>
                    <a:ext cx="39" cy="29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1" name="Line 411"/>
                  <xdr:cNvSpPr>
                    <a:spLocks/>
                  </xdr:cNvSpPr>
                </xdr:nvSpPr>
                <xdr:spPr>
                  <a:xfrm>
                    <a:off x="213" y="1189"/>
                    <a:ext cx="0" cy="35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arrow"/>
                    <a:tailEnd type="arrow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2" name="Line 412"/>
                  <xdr:cNvSpPr>
                    <a:spLocks/>
                  </xdr:cNvSpPr>
                </xdr:nvSpPr>
                <xdr:spPr>
                  <a:xfrm flipH="1">
                    <a:off x="190" y="1191"/>
                    <a:ext cx="12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prstDash val="dashDot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3" name="Line 322"/>
                  <xdr:cNvSpPr>
                    <a:spLocks/>
                  </xdr:cNvSpPr>
                </xdr:nvSpPr>
                <xdr:spPr>
                  <a:xfrm flipV="1">
                    <a:off x="371" y="1158"/>
                    <a:ext cx="65" cy="51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FF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4" name="Line 328"/>
                  <xdr:cNvSpPr>
                    <a:spLocks/>
                  </xdr:cNvSpPr>
                </xdr:nvSpPr>
                <xdr:spPr>
                  <a:xfrm flipV="1">
                    <a:off x="567" y="1232"/>
                    <a:ext cx="90" cy="44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FF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5" name="Line 340"/>
                  <xdr:cNvSpPr>
                    <a:spLocks/>
                  </xdr:cNvSpPr>
                </xdr:nvSpPr>
                <xdr:spPr>
                  <a:xfrm flipV="1">
                    <a:off x="481" y="1186"/>
                    <a:ext cx="99" cy="47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FF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grpSp>
                <xdr:nvGrpSpPr>
                  <xdr:cNvPr id="76" name="Group 495"/>
                  <xdr:cNvGrpSpPr>
                    <a:grpSpLocks/>
                  </xdr:cNvGrpSpPr>
                </xdr:nvGrpSpPr>
                <xdr:grpSpPr>
                  <a:xfrm>
                    <a:off x="124" y="1173"/>
                    <a:ext cx="665" cy="389"/>
                    <a:chOff x="124" y="1173"/>
                    <a:chExt cx="665" cy="389"/>
                  </a:xfrm>
                  <a:solidFill>
                    <a:srgbClr val="FFFFFF"/>
                  </a:solidFill>
                </xdr:grpSpPr>
                <xdr:grpSp>
                  <xdr:nvGrpSpPr>
                    <xdr:cNvPr id="77" name="Group 480"/>
                    <xdr:cNvGrpSpPr>
                      <a:grpSpLocks/>
                    </xdr:cNvGrpSpPr>
                  </xdr:nvGrpSpPr>
                  <xdr:grpSpPr>
                    <a:xfrm>
                      <a:off x="314" y="1279"/>
                      <a:ext cx="245" cy="205"/>
                      <a:chOff x="313" y="1272"/>
                      <a:chExt cx="244" cy="207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78" name="Oval 304"/>
                      <xdr:cNvSpPr>
                        <a:spLocks/>
                      </xdr:cNvSpPr>
                    </xdr:nvSpPr>
                    <xdr:spPr>
                      <a:xfrm>
                        <a:off x="546" y="1272"/>
                        <a:ext cx="11" cy="15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9" name="Line 305"/>
                      <xdr:cNvSpPr>
                        <a:spLocks/>
                      </xdr:cNvSpPr>
                    </xdr:nvSpPr>
                    <xdr:spPr>
                      <a:xfrm flipH="1">
                        <a:off x="313" y="1280"/>
                        <a:ext cx="236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FF0000"/>
                        </a:solidFill>
                        <a:prstDash val="lgDashDot"/>
                        <a:headEnd type="arrow"/>
                        <a:tailEnd type="arrow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80" name="Line 306"/>
                      <xdr:cNvSpPr>
                        <a:spLocks/>
                      </xdr:cNvSpPr>
                    </xdr:nvSpPr>
                    <xdr:spPr>
                      <a:xfrm flipH="1">
                        <a:off x="552" y="1282"/>
                        <a:ext cx="0" cy="197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FF0000"/>
                        </a:solidFill>
                        <a:prstDash val="lgDashDot"/>
                        <a:headEnd type="arrow"/>
                        <a:tailEnd type="arrow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81" name="Line 307"/>
                    <xdr:cNvSpPr>
                      <a:spLocks/>
                    </xdr:cNvSpPr>
                  </xdr:nvSpPr>
                  <xdr:spPr>
                    <a:xfrm flipH="1">
                      <a:off x="317" y="1242"/>
                      <a:ext cx="151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FF0000"/>
                      </a:solidFill>
                      <a:prstDash val="lgDashDot"/>
                      <a:headEnd type="arrow"/>
                      <a:tailEnd type="arrow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82" name="Line 308"/>
                    <xdr:cNvSpPr>
                      <a:spLocks/>
                    </xdr:cNvSpPr>
                  </xdr:nvSpPr>
                  <xdr:spPr>
                    <a:xfrm flipH="1">
                      <a:off x="461" y="1244"/>
                      <a:ext cx="0" cy="23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FF0000"/>
                      </a:solidFill>
                      <a:prstDash val="lgDashDot"/>
                      <a:headEnd type="arrow"/>
                      <a:tailEnd type="arrow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83" name="Line 310"/>
                    <xdr:cNvSpPr>
                      <a:spLocks/>
                    </xdr:cNvSpPr>
                  </xdr:nvSpPr>
                  <xdr:spPr>
                    <a:xfrm flipH="1">
                      <a:off x="316" y="1319"/>
                      <a:ext cx="269" cy="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FF"/>
                      </a:solidFill>
                      <a:headEnd type="arrow"/>
                      <a:tailEnd type="arrow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grpSp>
                  <xdr:nvGrpSpPr>
                    <xdr:cNvPr id="84" name="Group 478"/>
                    <xdr:cNvGrpSpPr>
                      <a:grpSpLocks/>
                    </xdr:cNvGrpSpPr>
                  </xdr:nvGrpSpPr>
                  <xdr:grpSpPr>
                    <a:xfrm>
                      <a:off x="316" y="1223"/>
                      <a:ext cx="101" cy="256"/>
                      <a:chOff x="315" y="1216"/>
                      <a:chExt cx="101" cy="258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85" name="Line 316"/>
                      <xdr:cNvSpPr>
                        <a:spLocks/>
                      </xdr:cNvSpPr>
                    </xdr:nvSpPr>
                    <xdr:spPr>
                      <a:xfrm>
                        <a:off x="416" y="1216"/>
                        <a:ext cx="0" cy="258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FF"/>
                        </a:solidFill>
                        <a:headEnd type="arrow"/>
                        <a:tailEnd type="arrow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86" name="Line 317"/>
                      <xdr:cNvSpPr>
                        <a:spLocks/>
                      </xdr:cNvSpPr>
                    </xdr:nvSpPr>
                    <xdr:spPr>
                      <a:xfrm flipH="1">
                        <a:off x="315" y="1217"/>
                        <a:ext cx="100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FF"/>
                        </a:solidFill>
                        <a:headEnd type="arrow"/>
                        <a:tailEnd type="arrow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87" name="Group 475"/>
                    <xdr:cNvGrpSpPr>
                      <a:grpSpLocks/>
                    </xdr:cNvGrpSpPr>
                  </xdr:nvGrpSpPr>
                  <xdr:grpSpPr>
                    <a:xfrm>
                      <a:off x="136" y="1329"/>
                      <a:ext cx="653" cy="151"/>
                      <a:chOff x="135" y="1323"/>
                      <a:chExt cx="652" cy="15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88" name="Line 334"/>
                      <xdr:cNvSpPr>
                        <a:spLocks/>
                      </xdr:cNvSpPr>
                    </xdr:nvSpPr>
                    <xdr:spPr>
                      <a:xfrm flipH="1">
                        <a:off x="135" y="1475"/>
                        <a:ext cx="652" cy="0"/>
                      </a:xfrm>
                      <a:prstGeom prst="line">
                        <a:avLst/>
                      </a:prstGeom>
                      <a:noFill/>
                      <a:ln w="28575" cmpd="sng">
                        <a:solidFill>
                          <a:srgbClr val="000000"/>
                        </a:solidFill>
                        <a:prstDash val="lgDashDot"/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89" name="Oval 335"/>
                      <xdr:cNvSpPr>
                        <a:spLocks/>
                      </xdr:cNvSpPr>
                    </xdr:nvSpPr>
                    <xdr:spPr>
                      <a:xfrm>
                        <a:off x="480" y="1323"/>
                        <a:ext cx="22" cy="15"/>
                      </a:xfrm>
                      <a:prstGeom prst="ellipse">
                        <a:avLst/>
                      </a:prstGeom>
                      <a:solidFill>
                        <a:srgbClr val="FF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90" name="Line 336"/>
                      <xdr:cNvSpPr>
                        <a:spLocks/>
                      </xdr:cNvSpPr>
                    </xdr:nvSpPr>
                    <xdr:spPr>
                      <a:xfrm>
                        <a:off x="320" y="1331"/>
                        <a:ext cx="172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arrow"/>
                        <a:tailEnd type="arrow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91" name="Line 337"/>
                      <xdr:cNvSpPr>
                        <a:spLocks/>
                      </xdr:cNvSpPr>
                    </xdr:nvSpPr>
                    <xdr:spPr>
                      <a:xfrm>
                        <a:off x="489" y="1332"/>
                        <a:ext cx="0" cy="142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arrow"/>
                        <a:tailEnd type="arrow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92" name="Group 494"/>
                    <xdr:cNvGrpSpPr>
                      <a:grpSpLocks/>
                    </xdr:cNvGrpSpPr>
                  </xdr:nvGrpSpPr>
                  <xdr:grpSpPr>
                    <a:xfrm>
                      <a:off x="124" y="1173"/>
                      <a:ext cx="517" cy="389"/>
                      <a:chOff x="124" y="1173"/>
                      <a:chExt cx="517" cy="389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93" name="Line 345"/>
                      <xdr:cNvSpPr>
                        <a:spLocks/>
                      </xdr:cNvSpPr>
                    </xdr:nvSpPr>
                    <xdr:spPr>
                      <a:xfrm>
                        <a:off x="591" y="1513"/>
                        <a:ext cx="50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arrow"/>
                        <a:tailEnd type="arrow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94" name="Line 346"/>
                      <xdr:cNvSpPr>
                        <a:spLocks/>
                      </xdr:cNvSpPr>
                    </xdr:nvSpPr>
                    <xdr:spPr>
                      <a:xfrm>
                        <a:off x="516" y="1500"/>
                        <a:ext cx="68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arrow"/>
                        <a:tailEnd type="arrow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95" name="Line 347"/>
                      <xdr:cNvSpPr>
                        <a:spLocks/>
                      </xdr:cNvSpPr>
                    </xdr:nvSpPr>
                    <xdr:spPr>
                      <a:xfrm>
                        <a:off x="586" y="1479"/>
                        <a:ext cx="1" cy="37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prstDash val="dashDot"/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96" name="Line 309"/>
                      <xdr:cNvSpPr>
                        <a:spLocks/>
                      </xdr:cNvSpPr>
                    </xdr:nvSpPr>
                    <xdr:spPr>
                      <a:xfrm>
                        <a:off x="584" y="1320"/>
                        <a:ext cx="0" cy="162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FF"/>
                        </a:solidFill>
                        <a:headEnd type="arrow"/>
                        <a:tailEnd type="arrow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grpSp>
                    <xdr:nvGrpSpPr>
                      <xdr:cNvPr id="97" name="Group 493"/>
                      <xdr:cNvGrpSpPr>
                        <a:grpSpLocks/>
                      </xdr:cNvGrpSpPr>
                    </xdr:nvGrpSpPr>
                    <xdr:grpSpPr>
                      <a:xfrm>
                        <a:off x="309" y="1256"/>
                        <a:ext cx="200" cy="220"/>
                        <a:chOff x="309" y="1256"/>
                        <a:chExt cx="200" cy="220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98" name="Line 319"/>
                        <xdr:cNvSpPr>
                          <a:spLocks/>
                        </xdr:cNvSpPr>
                      </xdr:nvSpPr>
                      <xdr:spPr>
                        <a:xfrm>
                          <a:off x="509" y="1256"/>
                          <a:ext cx="0" cy="220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FF"/>
                          </a:solidFill>
                          <a:headEnd type="arrow"/>
                          <a:tailEnd type="arrow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99" name="Line 320"/>
                        <xdr:cNvSpPr>
                          <a:spLocks/>
                        </xdr:cNvSpPr>
                      </xdr:nvSpPr>
                      <xdr:spPr>
                        <a:xfrm flipH="1">
                          <a:off x="309" y="1258"/>
                          <a:ext cx="197" cy="0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FF"/>
                          </a:solidFill>
                          <a:headEnd type="arrow"/>
                          <a:tailEnd type="arrow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  <xdr:grpSp>
                    <xdr:nvGrpSpPr>
                      <xdr:cNvPr id="100" name="Group 492"/>
                      <xdr:cNvGrpSpPr>
                        <a:grpSpLocks/>
                      </xdr:cNvGrpSpPr>
                    </xdr:nvGrpSpPr>
                    <xdr:grpSpPr>
                      <a:xfrm>
                        <a:off x="124" y="1173"/>
                        <a:ext cx="516" cy="389"/>
                        <a:chOff x="124" y="1173"/>
                        <a:chExt cx="516" cy="389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101" name="Line 343"/>
                        <xdr:cNvSpPr>
                          <a:spLocks/>
                        </xdr:cNvSpPr>
                      </xdr:nvSpPr>
                      <xdr:spPr>
                        <a:xfrm>
                          <a:off x="316" y="1499"/>
                          <a:ext cx="97" cy="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arrow"/>
                          <a:tailEnd type="arrow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02" name="Line 344"/>
                        <xdr:cNvSpPr>
                          <a:spLocks/>
                        </xdr:cNvSpPr>
                      </xdr:nvSpPr>
                      <xdr:spPr>
                        <a:xfrm>
                          <a:off x="418" y="1500"/>
                          <a:ext cx="96" cy="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arrow"/>
                          <a:tailEnd type="arrow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03" name="Line 389"/>
                        <xdr:cNvSpPr>
                          <a:spLocks/>
                        </xdr:cNvSpPr>
                      </xdr:nvSpPr>
                      <xdr:spPr>
                        <a:xfrm flipV="1">
                          <a:off x="469" y="1430"/>
                          <a:ext cx="20" cy="10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04" name="Line 401"/>
                        <xdr:cNvSpPr>
                          <a:spLocks/>
                        </xdr:cNvSpPr>
                      </xdr:nvSpPr>
                      <xdr:spPr>
                        <a:xfrm>
                          <a:off x="345" y="1173"/>
                          <a:ext cx="15" cy="37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05" name="Arc 301"/>
                        <xdr:cNvSpPr>
                          <a:spLocks/>
                        </xdr:cNvSpPr>
                      </xdr:nvSpPr>
                      <xdr:spPr>
                        <a:xfrm>
                          <a:off x="304" y="1208"/>
                          <a:ext cx="334" cy="312"/>
                        </a:xfrm>
                        <a:prstGeom prst="arc">
                          <a:avLst>
                            <a:gd name="adj1" fmla="val -28154523"/>
                            <a:gd name="adj2" fmla="val 4428208"/>
                            <a:gd name="adj3" fmla="val -45412"/>
                          </a:avLst>
                        </a:prstGeom>
                        <a:noFill/>
                        <a:ln w="9525" cmpd="sng">
                          <a:solidFill>
                            <a:srgbClr val="0000FF"/>
                          </a:solidFill>
                          <a:prstDash val="lgDashDot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06" name="Line 321"/>
                        <xdr:cNvSpPr>
                          <a:spLocks/>
                        </xdr:cNvSpPr>
                      </xdr:nvSpPr>
                      <xdr:spPr>
                        <a:xfrm>
                          <a:off x="262" y="1213"/>
                          <a:ext cx="0" cy="268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arrow"/>
                          <a:tailEnd type="arrow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07" name="Line 324"/>
                        <xdr:cNvSpPr>
                          <a:spLocks/>
                        </xdr:cNvSpPr>
                      </xdr:nvSpPr>
                      <xdr:spPr>
                        <a:xfrm>
                          <a:off x="316" y="1526"/>
                          <a:ext cx="324" cy="2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arrow"/>
                          <a:tailEnd type="arrow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08" name="Line 325"/>
                        <xdr:cNvSpPr>
                          <a:spLocks/>
                        </xdr:cNvSpPr>
                      </xdr:nvSpPr>
                      <xdr:spPr>
                        <a:xfrm>
                          <a:off x="640" y="1465"/>
                          <a:ext cx="0" cy="97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prstDash val="lgDashDot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09" name="Line 332"/>
                        <xdr:cNvSpPr>
                          <a:spLocks/>
                        </xdr:cNvSpPr>
                      </xdr:nvSpPr>
                      <xdr:spPr>
                        <a:xfrm>
                          <a:off x="124" y="1207"/>
                          <a:ext cx="201" cy="0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prstDash val="lgDashDot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10" name="Arc 466"/>
                        <xdr:cNvSpPr>
                          <a:spLocks/>
                        </xdr:cNvSpPr>
                      </xdr:nvSpPr>
                      <xdr:spPr>
                        <a:xfrm>
                          <a:off x="598" y="1370"/>
                          <a:ext cx="42" cy="113"/>
                        </a:xfrm>
                        <a:prstGeom prst="arc">
                          <a:avLst>
                            <a:gd name="adj1" fmla="val -29211606"/>
                            <a:gd name="adj2" fmla="val -39351"/>
                          </a:avLst>
                        </a:prstGeom>
                        <a:noFill/>
                        <a:ln w="9525" cmpd="sng">
                          <a:solidFill>
                            <a:srgbClr val="0000FF"/>
                          </a:solidFill>
                          <a:prstDash val="dashDot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11" name="Arc 467"/>
                        <xdr:cNvSpPr>
                          <a:spLocks/>
                        </xdr:cNvSpPr>
                      </xdr:nvSpPr>
                      <xdr:spPr>
                        <a:xfrm>
                          <a:off x="625" y="1425"/>
                          <a:ext cx="8" cy="86"/>
                        </a:xfrm>
                        <a:prstGeom prst="arc">
                          <a:avLst/>
                        </a:prstGeom>
                        <a:noFill/>
                        <a:ln w="38100" cmpd="sng">
                          <a:solidFill>
                            <a:srgbClr val="FFFFFF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</xdr:grpSp>
            <xdr:sp>
              <xdr:nvSpPr>
                <xdr:cNvPr id="112" name="Line 314"/>
                <xdr:cNvSpPr>
                  <a:spLocks/>
                </xdr:cNvSpPr>
              </xdr:nvSpPr>
              <xdr:spPr>
                <a:xfrm>
                  <a:off x="623" y="1492"/>
                  <a:ext cx="48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arrow"/>
                  <a:tailEnd type="arrow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13</xdr:col>
      <xdr:colOff>342900</xdr:colOff>
      <xdr:row>0</xdr:row>
      <xdr:rowOff>123825</xdr:rowOff>
    </xdr:from>
    <xdr:to>
      <xdr:col>23</xdr:col>
      <xdr:colOff>180975</xdr:colOff>
      <xdr:row>3</xdr:row>
      <xdr:rowOff>28575</xdr:rowOff>
    </xdr:to>
    <xdr:sp>
      <xdr:nvSpPr>
        <xdr:cNvPr id="113" name="AutoShape 509"/>
        <xdr:cNvSpPr>
          <a:spLocks/>
        </xdr:cNvSpPr>
      </xdr:nvSpPr>
      <xdr:spPr>
        <a:xfrm>
          <a:off x="9839325" y="123825"/>
          <a:ext cx="7810500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 SCRIVERE SOLO NELLE CELLE VIOLA</a:t>
          </a:r>
        </a:p>
      </xdr:txBody>
    </xdr:sp>
    <xdr:clientData/>
  </xdr:twoCellAnchor>
  <xdr:twoCellAnchor>
    <xdr:from>
      <xdr:col>9</xdr:col>
      <xdr:colOff>333375</xdr:colOff>
      <xdr:row>42</xdr:row>
      <xdr:rowOff>95250</xdr:rowOff>
    </xdr:from>
    <xdr:to>
      <xdr:col>9</xdr:col>
      <xdr:colOff>914400</xdr:colOff>
      <xdr:row>43</xdr:row>
      <xdr:rowOff>95250</xdr:rowOff>
    </xdr:to>
    <xdr:grpSp>
      <xdr:nvGrpSpPr>
        <xdr:cNvPr id="114" name="Group 589"/>
        <xdr:cNvGrpSpPr>
          <a:grpSpLocks/>
        </xdr:cNvGrpSpPr>
      </xdr:nvGrpSpPr>
      <xdr:grpSpPr>
        <a:xfrm>
          <a:off x="6534150" y="8810625"/>
          <a:ext cx="581025" cy="161925"/>
          <a:chOff x="686" y="917"/>
          <a:chExt cx="61" cy="17"/>
        </a:xfrm>
        <a:solidFill>
          <a:srgbClr val="FFFFFF"/>
        </a:solidFill>
      </xdr:grpSpPr>
      <xdr:sp>
        <xdr:nvSpPr>
          <xdr:cNvPr id="115" name="Line 407"/>
          <xdr:cNvSpPr>
            <a:spLocks/>
          </xdr:cNvSpPr>
        </xdr:nvSpPr>
        <xdr:spPr>
          <a:xfrm flipV="1">
            <a:off x="695" y="917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588"/>
          <xdr:cNvSpPr>
            <a:spLocks/>
          </xdr:cNvSpPr>
        </xdr:nvSpPr>
        <xdr:spPr>
          <a:xfrm flipV="1">
            <a:off x="686" y="921"/>
            <a:ext cx="61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323850</xdr:colOff>
      <xdr:row>4</xdr:row>
      <xdr:rowOff>152400</xdr:rowOff>
    </xdr:from>
    <xdr:to>
      <xdr:col>25</xdr:col>
      <xdr:colOff>685800</xdr:colOff>
      <xdr:row>4</xdr:row>
      <xdr:rowOff>152400</xdr:rowOff>
    </xdr:to>
    <xdr:sp>
      <xdr:nvSpPr>
        <xdr:cNvPr id="117" name="Line 590"/>
        <xdr:cNvSpPr>
          <a:spLocks/>
        </xdr:cNvSpPr>
      </xdr:nvSpPr>
      <xdr:spPr>
        <a:xfrm>
          <a:off x="19240500" y="781050"/>
          <a:ext cx="3619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41</xdr:row>
      <xdr:rowOff>152400</xdr:rowOff>
    </xdr:from>
    <xdr:to>
      <xdr:col>6</xdr:col>
      <xdr:colOff>19050</xdr:colOff>
      <xdr:row>44</xdr:row>
      <xdr:rowOff>28575</xdr:rowOff>
    </xdr:to>
    <xdr:sp>
      <xdr:nvSpPr>
        <xdr:cNvPr id="118" name="AutoShape 595"/>
        <xdr:cNvSpPr>
          <a:spLocks/>
        </xdr:cNvSpPr>
      </xdr:nvSpPr>
      <xdr:spPr>
        <a:xfrm>
          <a:off x="3638550" y="8705850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704850</xdr:colOff>
      <xdr:row>41</xdr:row>
      <xdr:rowOff>114300</xdr:rowOff>
    </xdr:from>
    <xdr:to>
      <xdr:col>12</xdr:col>
      <xdr:colOff>38100</xdr:colOff>
      <xdr:row>44</xdr:row>
      <xdr:rowOff>38100</xdr:rowOff>
    </xdr:to>
    <xdr:sp>
      <xdr:nvSpPr>
        <xdr:cNvPr id="119" name="AutoShape 596"/>
        <xdr:cNvSpPr>
          <a:spLocks/>
        </xdr:cNvSpPr>
      </xdr:nvSpPr>
      <xdr:spPr>
        <a:xfrm>
          <a:off x="8839200" y="8667750"/>
          <a:ext cx="76200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:O34"/>
  <sheetViews>
    <sheetView showGridLines="0" workbookViewId="0" topLeftCell="A20">
      <selection activeCell="E35" sqref="E35"/>
    </sheetView>
  </sheetViews>
  <sheetFormatPr defaultColWidth="9.140625" defaultRowHeight="12.75"/>
  <cols>
    <col min="1" max="1" width="9.140625" style="2" customWidth="1"/>
    <col min="2" max="2" width="20.140625" style="2" bestFit="1" customWidth="1"/>
    <col min="3" max="4" width="9.140625" style="2" customWidth="1"/>
    <col min="5" max="5" width="16.7109375" style="2" customWidth="1"/>
    <col min="6" max="6" width="12.7109375" style="2" customWidth="1"/>
    <col min="7" max="7" width="10.421875" style="2" bestFit="1" customWidth="1"/>
    <col min="8" max="8" width="17.00390625" style="2" bestFit="1" customWidth="1"/>
    <col min="9" max="9" width="9.8515625" style="2" customWidth="1"/>
    <col min="10" max="10" width="15.00390625" style="2" bestFit="1" customWidth="1"/>
    <col min="11" max="11" width="9.140625" style="2" customWidth="1"/>
    <col min="12" max="12" width="16.7109375" style="2" bestFit="1" customWidth="1"/>
    <col min="13" max="13" width="9.140625" style="2" customWidth="1"/>
    <col min="14" max="14" width="14.421875" style="2" bestFit="1" customWidth="1"/>
    <col min="15" max="15" width="13.8515625" style="2" bestFit="1" customWidth="1"/>
    <col min="16" max="16" width="10.7109375" style="2" bestFit="1" customWidth="1"/>
    <col min="17" max="17" width="16.140625" style="2" bestFit="1" customWidth="1"/>
    <col min="18" max="18" width="9.140625" style="2" customWidth="1"/>
    <col min="19" max="19" width="14.421875" style="2" bestFit="1" customWidth="1"/>
    <col min="20" max="20" width="9.140625" style="2" customWidth="1"/>
    <col min="21" max="21" width="12.140625" style="2" bestFit="1" customWidth="1"/>
    <col min="22" max="22" width="16.7109375" style="2" bestFit="1" customWidth="1"/>
    <col min="23" max="23" width="10.421875" style="2" bestFit="1" customWidth="1"/>
    <col min="24" max="27" width="9.140625" style="2" customWidth="1"/>
    <col min="28" max="28" width="9.8515625" style="2" bestFit="1" customWidth="1"/>
    <col min="29" max="30" width="9.140625" style="2" customWidth="1"/>
    <col min="31" max="32" width="9.8515625" style="2" customWidth="1"/>
    <col min="33" max="34" width="9.8515625" style="2" bestFit="1" customWidth="1"/>
    <col min="35" max="16384" width="9.140625" style="2" customWidth="1"/>
  </cols>
  <sheetData>
    <row r="1" spans="2:15" ht="23.25">
      <c r="B1" s="32"/>
      <c r="C1" s="32"/>
      <c r="D1" s="32"/>
      <c r="E1" s="32"/>
      <c r="F1" s="32"/>
      <c r="G1" s="32"/>
      <c r="H1" s="64"/>
      <c r="I1" s="66"/>
      <c r="J1" s="63"/>
      <c r="K1" s="60"/>
      <c r="L1" s="38"/>
      <c r="M1" s="60"/>
      <c r="N1" s="32"/>
      <c r="O1" s="32"/>
    </row>
    <row r="2" spans="2:15" ht="23.25">
      <c r="B2" s="32"/>
      <c r="C2" s="32"/>
      <c r="D2" s="32"/>
      <c r="E2" s="32"/>
      <c r="F2" s="32"/>
      <c r="G2" s="32"/>
      <c r="H2" s="67"/>
      <c r="I2" s="68"/>
      <c r="J2" s="63"/>
      <c r="K2" s="32"/>
      <c r="L2" s="32"/>
      <c r="M2" s="32"/>
      <c r="N2" s="32"/>
      <c r="O2" s="32"/>
    </row>
    <row r="3" spans="2:15" ht="20.25">
      <c r="B3" s="61" t="s">
        <v>145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ht="20.25">
      <c r="B4" s="196" t="s">
        <v>146</v>
      </c>
    </row>
    <row r="6" ht="20.25">
      <c r="B6" s="60" t="s">
        <v>147</v>
      </c>
    </row>
    <row r="7" ht="20.25">
      <c r="B7" s="60" t="s">
        <v>165</v>
      </c>
    </row>
    <row r="8" ht="20.25">
      <c r="B8" s="60" t="s">
        <v>164</v>
      </c>
    </row>
    <row r="9" ht="20.25">
      <c r="B9" s="230" t="s">
        <v>189</v>
      </c>
    </row>
    <row r="10" ht="20.25">
      <c r="B10" s="60" t="s">
        <v>166</v>
      </c>
    </row>
    <row r="11" ht="20.25">
      <c r="B11" s="60" t="s">
        <v>167</v>
      </c>
    </row>
    <row r="12" ht="20.25">
      <c r="B12" s="60" t="s">
        <v>190</v>
      </c>
    </row>
    <row r="13" ht="20.25">
      <c r="B13" s="60" t="s">
        <v>168</v>
      </c>
    </row>
    <row r="14" ht="20.25">
      <c r="B14" s="60" t="s">
        <v>161</v>
      </c>
    </row>
    <row r="15" ht="20.25">
      <c r="B15" s="60" t="s">
        <v>160</v>
      </c>
    </row>
    <row r="16" ht="20.25">
      <c r="B16" s="60" t="s">
        <v>191</v>
      </c>
    </row>
    <row r="17" ht="20.25">
      <c r="B17" s="60" t="s">
        <v>169</v>
      </c>
    </row>
    <row r="18" ht="20.25">
      <c r="B18" s="60" t="s">
        <v>162</v>
      </c>
    </row>
    <row r="19" ht="20.25">
      <c r="B19" s="60" t="s">
        <v>159</v>
      </c>
    </row>
    <row r="20" ht="20.25">
      <c r="B20" s="231" t="s">
        <v>195</v>
      </c>
    </row>
    <row r="21" ht="20.25">
      <c r="B21" s="231"/>
    </row>
    <row r="22" ht="20.25">
      <c r="B22" s="222" t="s">
        <v>170</v>
      </c>
    </row>
    <row r="23" ht="20.25">
      <c r="B23" s="222" t="s">
        <v>171</v>
      </c>
    </row>
    <row r="24" ht="20.25">
      <c r="B24" s="229" t="s">
        <v>192</v>
      </c>
    </row>
    <row r="25" ht="20.25">
      <c r="B25" s="222" t="s">
        <v>172</v>
      </c>
    </row>
    <row r="26" ht="20.25">
      <c r="B26" s="222" t="s">
        <v>176</v>
      </c>
    </row>
    <row r="27" ht="20.25">
      <c r="B27" s="223" t="s">
        <v>177</v>
      </c>
    </row>
    <row r="28" ht="20.25">
      <c r="B28" s="222" t="s">
        <v>173</v>
      </c>
    </row>
    <row r="29" ht="20.25">
      <c r="B29" s="222" t="s">
        <v>193</v>
      </c>
    </row>
    <row r="30" ht="20.25">
      <c r="B30" s="222" t="s">
        <v>194</v>
      </c>
    </row>
    <row r="31" ht="20.25">
      <c r="B31" s="222" t="s">
        <v>174</v>
      </c>
    </row>
    <row r="32" ht="20.25">
      <c r="B32" s="222" t="s">
        <v>175</v>
      </c>
    </row>
    <row r="34" ht="20.25">
      <c r="B34" s="232" t="s">
        <v>196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B1:AN102"/>
  <sheetViews>
    <sheetView showGridLines="0" tabSelected="1" workbookViewId="0" topLeftCell="M2">
      <selection activeCell="Y15" sqref="Y15"/>
    </sheetView>
  </sheetViews>
  <sheetFormatPr defaultColWidth="9.140625" defaultRowHeight="12.75"/>
  <cols>
    <col min="6" max="6" width="9.7109375" style="0" bestFit="1" customWidth="1"/>
    <col min="7" max="7" width="10.140625" style="0" bestFit="1" customWidth="1"/>
    <col min="8" max="8" width="16.28125" style="0" bestFit="1" customWidth="1"/>
    <col min="9" max="9" width="11.140625" style="0" bestFit="1" customWidth="1"/>
    <col min="10" max="10" width="15.7109375" style="0" bestFit="1" customWidth="1"/>
    <col min="11" max="11" width="13.28125" style="0" bestFit="1" customWidth="1"/>
    <col min="12" max="12" width="11.140625" style="0" bestFit="1" customWidth="1"/>
    <col min="13" max="13" width="9.28125" style="0" bestFit="1" customWidth="1"/>
    <col min="14" max="14" width="13.28125" style="0" bestFit="1" customWidth="1"/>
    <col min="15" max="15" width="13.421875" style="0" bestFit="1" customWidth="1"/>
    <col min="16" max="16" width="14.421875" style="0" bestFit="1" customWidth="1"/>
    <col min="17" max="17" width="10.8515625" style="0" bestFit="1" customWidth="1"/>
    <col min="18" max="18" width="9.421875" style="0" bestFit="1" customWidth="1"/>
    <col min="19" max="19" width="14.421875" style="0" bestFit="1" customWidth="1"/>
    <col min="20" max="20" width="11.28125" style="0" bestFit="1" customWidth="1"/>
    <col min="21" max="21" width="9.57421875" style="0" bestFit="1" customWidth="1"/>
    <col min="22" max="22" width="9.421875" style="0" bestFit="1" customWidth="1"/>
    <col min="23" max="23" width="13.421875" style="0" bestFit="1" customWidth="1"/>
    <col min="24" max="24" width="12.421875" style="0" bestFit="1" customWidth="1"/>
    <col min="25" max="25" width="9.28125" style="0" bestFit="1" customWidth="1"/>
    <col min="26" max="26" width="11.421875" style="0" bestFit="1" customWidth="1"/>
    <col min="27" max="27" width="13.57421875" style="0" bestFit="1" customWidth="1"/>
    <col min="31" max="31" width="10.00390625" style="0" bestFit="1" customWidth="1"/>
  </cols>
  <sheetData>
    <row r="1" spans="16:32" s="75" customFormat="1" ht="11.25">
      <c r="P1" s="75">
        <v>16</v>
      </c>
      <c r="S1" s="75">
        <v>19</v>
      </c>
      <c r="V1" s="75">
        <v>22</v>
      </c>
      <c r="AC1" s="75">
        <v>29</v>
      </c>
      <c r="AF1" s="75">
        <v>32</v>
      </c>
    </row>
    <row r="3" spans="19:28" ht="12.75">
      <c r="S3" s="32"/>
      <c r="T3" s="33"/>
      <c r="U3" s="32"/>
      <c r="V3" s="39"/>
      <c r="W3" s="32"/>
      <c r="X3" s="32"/>
      <c r="Y3" s="32"/>
      <c r="Z3" s="32"/>
      <c r="AA3" s="32"/>
      <c r="AB3" s="32"/>
    </row>
    <row r="4" spans="19:28" ht="12.75"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9:28" ht="20.25">
      <c r="S5" s="32"/>
      <c r="T5" s="32"/>
      <c r="U5" s="32"/>
      <c r="V5" s="32"/>
      <c r="W5" s="32"/>
      <c r="X5" s="32"/>
      <c r="Y5" s="146" t="s">
        <v>103</v>
      </c>
      <c r="Z5" s="32"/>
      <c r="AA5" s="193" t="str">
        <f>vale2(Y13,Y14,P10,P11)</f>
        <v>VALIDO</v>
      </c>
      <c r="AB5" s="192"/>
    </row>
    <row r="6" spans="15:30" ht="26.25">
      <c r="O6" s="136" t="s">
        <v>82</v>
      </c>
      <c r="W6" s="184"/>
      <c r="X6" s="185"/>
      <c r="Y6" s="185"/>
      <c r="Z6" s="185"/>
      <c r="AA6" s="185"/>
      <c r="AB6" s="185"/>
      <c r="AC6" s="185"/>
      <c r="AD6" s="186"/>
    </row>
    <row r="7" spans="15:30" ht="26.25">
      <c r="O7" s="136"/>
      <c r="W7" s="105"/>
      <c r="X7" s="1"/>
      <c r="Y7" s="143" t="s">
        <v>141</v>
      </c>
      <c r="Z7" s="167">
        <f>Foglio3!M45</f>
        <v>6.412391012214032</v>
      </c>
      <c r="AA7" s="1" t="str">
        <f>Foglio3!N45</f>
        <v>kg/cm2</v>
      </c>
      <c r="AB7" s="1"/>
      <c r="AC7" s="1"/>
      <c r="AD7" s="187"/>
    </row>
    <row r="8" spans="15:30" ht="26.25">
      <c r="O8" s="136"/>
      <c r="S8" s="146" t="s">
        <v>102</v>
      </c>
      <c r="W8" s="105"/>
      <c r="X8" s="1"/>
      <c r="Y8" s="183" t="s">
        <v>140</v>
      </c>
      <c r="Z8" s="1"/>
      <c r="AA8" s="1"/>
      <c r="AD8" s="187"/>
    </row>
    <row r="9" spans="14:31" ht="15.75">
      <c r="N9" s="3"/>
      <c r="S9" s="7" t="s">
        <v>9</v>
      </c>
      <c r="T9" s="9"/>
      <c r="W9" s="105"/>
      <c r="X9" s="150" t="s">
        <v>104</v>
      </c>
      <c r="Y9" s="30">
        <f>Foglio3!M38</f>
        <v>-0.8000069433097297</v>
      </c>
      <c r="Z9" s="100" t="str">
        <f>Foglio3!N38</f>
        <v>cm</v>
      </c>
      <c r="AA9" s="33"/>
      <c r="AC9" s="194" t="s">
        <v>143</v>
      </c>
      <c r="AD9" s="188"/>
      <c r="AE9" s="32"/>
    </row>
    <row r="10" spans="14:31" ht="18">
      <c r="N10" s="3"/>
      <c r="P10" s="76">
        <f>S10</f>
        <v>46</v>
      </c>
      <c r="R10" s="12" t="s">
        <v>142</v>
      </c>
      <c r="S10" s="8">
        <v>46</v>
      </c>
      <c r="T10" s="4" t="s">
        <v>1</v>
      </c>
      <c r="W10" s="105"/>
      <c r="X10" s="150" t="s">
        <v>105</v>
      </c>
      <c r="Y10" s="30">
        <f>Foglio3!M39</f>
        <v>2.0497791460940213</v>
      </c>
      <c r="Z10" s="100" t="str">
        <f>Foglio3!N39</f>
        <v>cm</v>
      </c>
      <c r="AA10" s="32"/>
      <c r="AC10" s="195" t="s">
        <v>144</v>
      </c>
      <c r="AD10" s="189"/>
      <c r="AE10" s="65"/>
    </row>
    <row r="11" spans="14:31" ht="15.75">
      <c r="N11" s="3"/>
      <c r="P11" s="76">
        <f>S11</f>
        <v>40</v>
      </c>
      <c r="R11" s="6" t="s">
        <v>4</v>
      </c>
      <c r="S11" s="8">
        <v>40</v>
      </c>
      <c r="T11" s="4" t="s">
        <v>1</v>
      </c>
      <c r="W11" s="105"/>
      <c r="X11" s="1"/>
      <c r="Y11" s="1"/>
      <c r="Z11" s="1"/>
      <c r="AA11" s="33"/>
      <c r="AB11" s="36"/>
      <c r="AC11" s="169"/>
      <c r="AD11" s="188"/>
      <c r="AE11" s="32"/>
    </row>
    <row r="12" spans="14:30" ht="15.75">
      <c r="N12" s="3"/>
      <c r="P12" s="76">
        <f>S12</f>
        <v>1.6</v>
      </c>
      <c r="R12" s="6" t="s">
        <v>5</v>
      </c>
      <c r="S12" s="8">
        <v>1.6</v>
      </c>
      <c r="T12" s="4" t="s">
        <v>1</v>
      </c>
      <c r="W12" s="105"/>
      <c r="X12" s="1"/>
      <c r="Y12" s="1"/>
      <c r="Z12" s="1"/>
      <c r="AA12" s="1"/>
      <c r="AB12" s="1"/>
      <c r="AC12" s="1"/>
      <c r="AD12" s="187"/>
    </row>
    <row r="13" spans="14:30" ht="16.5" thickBot="1">
      <c r="N13" s="3"/>
      <c r="P13" s="76">
        <f>S13</f>
        <v>1</v>
      </c>
      <c r="R13" s="12" t="s">
        <v>8</v>
      </c>
      <c r="S13" s="226">
        <v>1</v>
      </c>
      <c r="T13" s="4" t="s">
        <v>1</v>
      </c>
      <c r="W13" s="105"/>
      <c r="X13" s="175" t="s">
        <v>197</v>
      </c>
      <c r="Y13" s="30">
        <f>2*S10+Y9</f>
        <v>91.19999305669027</v>
      </c>
      <c r="Z13" s="148" t="s">
        <v>1</v>
      </c>
      <c r="AA13" s="98" t="s">
        <v>106</v>
      </c>
      <c r="AB13" s="1"/>
      <c r="AC13" s="1"/>
      <c r="AD13" s="187"/>
    </row>
    <row r="14" spans="16:30" ht="17.25" thickBot="1" thickTop="1">
      <c r="P14" s="76">
        <f>S14</f>
        <v>6</v>
      </c>
      <c r="R14" s="159" t="s">
        <v>133</v>
      </c>
      <c r="S14" s="171">
        <v>6</v>
      </c>
      <c r="T14" s="172">
        <f>Foglio3!M45</f>
        <v>6.412391012214032</v>
      </c>
      <c r="W14" s="105"/>
      <c r="X14" s="175" t="s">
        <v>198</v>
      </c>
      <c r="Y14" s="30">
        <f>2*S11+Y10</f>
        <v>82.04977914609402</v>
      </c>
      <c r="Z14" s="148" t="s">
        <v>1</v>
      </c>
      <c r="AA14" s="176" t="s">
        <v>107</v>
      </c>
      <c r="AB14" s="1"/>
      <c r="AC14" s="1"/>
      <c r="AD14" s="187"/>
    </row>
    <row r="15" spans="16:30" ht="16.5" thickTop="1">
      <c r="P15" s="161">
        <f>P12*P13</f>
        <v>1.6</v>
      </c>
      <c r="R15" s="6" t="s">
        <v>7</v>
      </c>
      <c r="S15" s="160">
        <f>P12*P13</f>
        <v>1.6</v>
      </c>
      <c r="T15" s="4" t="s">
        <v>3</v>
      </c>
      <c r="W15" s="105"/>
      <c r="X15" s="1"/>
      <c r="Y15" s="1"/>
      <c r="Z15" s="1"/>
      <c r="AA15" s="1"/>
      <c r="AB15" s="1"/>
      <c r="AC15" s="1"/>
      <c r="AD15" s="187"/>
    </row>
    <row r="16" spans="16:30" ht="15.75">
      <c r="P16" s="161">
        <f>(P11^2)/P10</f>
        <v>34.78260869565217</v>
      </c>
      <c r="R16" s="11" t="s">
        <v>6</v>
      </c>
      <c r="S16" s="5">
        <f>(P11^2)/P10</f>
        <v>34.78260869565217</v>
      </c>
      <c r="T16" s="4" t="s">
        <v>1</v>
      </c>
      <c r="W16" s="105"/>
      <c r="X16" s="95"/>
      <c r="Y16" s="97" t="str">
        <f>L60</f>
        <v>Blanjean</v>
      </c>
      <c r="Z16" s="86"/>
      <c r="AA16" s="1"/>
      <c r="AB16" s="1"/>
      <c r="AC16" s="1"/>
      <c r="AD16" s="187"/>
    </row>
    <row r="17" spans="16:30" ht="21.75">
      <c r="P17" s="161">
        <f>1-P11/P10</f>
        <v>0.13043478260869568</v>
      </c>
      <c r="R17" s="22" t="s">
        <v>14</v>
      </c>
      <c r="S17" s="17">
        <f>1-P11/P10</f>
        <v>0.13043478260869568</v>
      </c>
      <c r="W17" s="106"/>
      <c r="X17" s="147" t="s">
        <v>110</v>
      </c>
      <c r="Y17" s="133">
        <f>L61</f>
        <v>2239.6522025203285</v>
      </c>
      <c r="Z17" s="148" t="str">
        <f>M61</f>
        <v>kg/cm2</v>
      </c>
      <c r="AA17" s="177" t="s">
        <v>108</v>
      </c>
      <c r="AB17" s="178" t="s">
        <v>137</v>
      </c>
      <c r="AC17" s="1"/>
      <c r="AD17" s="187"/>
    </row>
    <row r="18" spans="16:30" ht="18">
      <c r="P18" s="161">
        <f>P10*((1-P17)^2)/(1+1/12*((P12/P10)^2)*1/((1-P17)^4)+1/80*((P12/P10)^4)*1/((1-P17)^8))</f>
        <v>34.77647449760575</v>
      </c>
      <c r="R18" s="10" t="s">
        <v>10</v>
      </c>
      <c r="S18" s="5">
        <f>P10*((1-P17)^2)/(1+1/12*((P12/P10)^2)*1/((1-P17)^4)+1/80*((P12/P10)^4)*1/((1-P17)^8))</f>
        <v>34.77647449760575</v>
      </c>
      <c r="T18" s="4" t="s">
        <v>1</v>
      </c>
      <c r="W18" s="106"/>
      <c r="X18" s="149" t="s">
        <v>111</v>
      </c>
      <c r="Y18" s="132">
        <f>L62</f>
        <v>165.65992892096284</v>
      </c>
      <c r="Z18" s="148" t="str">
        <f>M62</f>
        <v>kg/cm2</v>
      </c>
      <c r="AA18" s="177" t="s">
        <v>109</v>
      </c>
      <c r="AB18" s="1"/>
      <c r="AC18" s="1"/>
      <c r="AD18" s="187"/>
    </row>
    <row r="19" spans="16:30" ht="15.75">
      <c r="P19" s="161">
        <f>1/12*(P12^3)*P13+P15*((P16-P18)^2)</f>
        <v>0.3413935387504098</v>
      </c>
      <c r="R19" s="18" t="s">
        <v>13</v>
      </c>
      <c r="S19" s="79">
        <f>1/12*(P12^3)*P13+P15*((P16-P18)^2)</f>
        <v>0.3413935387504098</v>
      </c>
      <c r="T19" s="16" t="s">
        <v>2</v>
      </c>
      <c r="W19" s="105"/>
      <c r="X19" s="1"/>
      <c r="Y19" s="1"/>
      <c r="Z19" s="1"/>
      <c r="AA19" s="1"/>
      <c r="AB19" s="1"/>
      <c r="AC19" s="1"/>
      <c r="AD19" s="187"/>
    </row>
    <row r="20" spans="18:30" ht="18">
      <c r="R20" s="26" t="s">
        <v>21</v>
      </c>
      <c r="S20" s="108">
        <v>2100000</v>
      </c>
      <c r="T20" s="4" t="s">
        <v>0</v>
      </c>
      <c r="V20" s="1"/>
      <c r="W20" s="105"/>
      <c r="X20" s="179" t="s">
        <v>138</v>
      </c>
      <c r="Y20" s="133">
        <f>O61</f>
        <v>2204.486047691123</v>
      </c>
      <c r="Z20" s="100" t="str">
        <f>P61</f>
        <v>kg/cm2</v>
      </c>
      <c r="AA20" s="180" t="s">
        <v>182</v>
      </c>
      <c r="AB20" s="1"/>
      <c r="AC20" s="1"/>
      <c r="AD20" s="187"/>
    </row>
    <row r="21" spans="18:30" ht="18">
      <c r="R21" s="99" t="s">
        <v>115</v>
      </c>
      <c r="S21" s="151">
        <v>2400</v>
      </c>
      <c r="T21" s="4" t="s">
        <v>0</v>
      </c>
      <c r="W21" s="105"/>
      <c r="X21" s="1"/>
      <c r="Y21" s="1"/>
      <c r="Z21" s="1"/>
      <c r="AA21" s="181"/>
      <c r="AB21" s="124" t="s">
        <v>185</v>
      </c>
      <c r="AC21" s="1"/>
      <c r="AD21" s="187"/>
    </row>
    <row r="22" spans="17:30" ht="18">
      <c r="Q22" s="69"/>
      <c r="R22" s="162" t="s">
        <v>124</v>
      </c>
      <c r="S22" s="163">
        <f>S21/S20</f>
        <v>0.001142857142857143</v>
      </c>
      <c r="T22" s="35" t="s">
        <v>126</v>
      </c>
      <c r="W22" s="105"/>
      <c r="X22" s="1"/>
      <c r="Y22" s="1"/>
      <c r="Z22" s="1"/>
      <c r="AA22" s="1"/>
      <c r="AB22" s="1"/>
      <c r="AC22" s="1"/>
      <c r="AD22" s="187"/>
    </row>
    <row r="23" spans="17:30" ht="18">
      <c r="Q23" s="69"/>
      <c r="R23" s="164" t="s">
        <v>125</v>
      </c>
      <c r="S23" s="163">
        <f>1-S22</f>
        <v>0.9988571428571429</v>
      </c>
      <c r="W23" s="105"/>
      <c r="X23" s="168" t="s">
        <v>120</v>
      </c>
      <c r="Y23" s="30">
        <f>Foglio3!S42</f>
        <v>190.34387904946772</v>
      </c>
      <c r="Z23" s="148" t="s">
        <v>0</v>
      </c>
      <c r="AA23" s="177" t="s">
        <v>183</v>
      </c>
      <c r="AB23" s="1"/>
      <c r="AC23" s="1"/>
      <c r="AD23" s="187"/>
    </row>
    <row r="24" spans="23:40" ht="12.75">
      <c r="W24" s="105"/>
      <c r="X24" s="1"/>
      <c r="Y24" s="1"/>
      <c r="Z24" s="1"/>
      <c r="AA24" s="1"/>
      <c r="AB24" s="1"/>
      <c r="AC24" s="1"/>
      <c r="AD24" s="187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23:40" ht="12.75">
      <c r="W25" s="190"/>
      <c r="X25" s="125"/>
      <c r="Y25" s="125"/>
      <c r="Z25" s="125"/>
      <c r="AA25" s="125"/>
      <c r="AB25" s="125"/>
      <c r="AC25" s="125"/>
      <c r="AD25" s="191"/>
      <c r="AF25" s="32"/>
      <c r="AG25" s="32"/>
      <c r="AH25" s="32"/>
      <c r="AI25" s="32"/>
      <c r="AJ25" s="32"/>
      <c r="AK25" s="32"/>
      <c r="AL25" s="32"/>
      <c r="AM25" s="32"/>
      <c r="AN25" s="32"/>
    </row>
    <row r="26" spans="18:40" ht="15">
      <c r="R26" s="77" t="s">
        <v>136</v>
      </c>
      <c r="S26" s="109" t="s">
        <v>69</v>
      </c>
      <c r="AF26" s="32"/>
      <c r="AG26" s="32"/>
      <c r="AH26" s="32"/>
      <c r="AI26" s="32"/>
      <c r="AJ26" s="32"/>
      <c r="AK26" s="32"/>
      <c r="AL26" s="32"/>
      <c r="AM26" s="32"/>
      <c r="AN26" s="32"/>
    </row>
    <row r="27" spans="32:40" ht="12.75">
      <c r="AF27" s="32"/>
      <c r="AG27" s="32"/>
      <c r="AH27" s="32"/>
      <c r="AI27" s="32"/>
      <c r="AJ27" s="32"/>
      <c r="AK27" s="32"/>
      <c r="AL27" s="32"/>
      <c r="AM27" s="32"/>
      <c r="AN27" s="32"/>
    </row>
    <row r="28" spans="17:40" ht="12.75">
      <c r="Q28" s="14"/>
      <c r="R28" s="14"/>
      <c r="S28" s="110" t="s">
        <v>135</v>
      </c>
      <c r="T28" s="14"/>
      <c r="U28" s="14"/>
      <c r="AF28" s="83"/>
      <c r="AG28" s="41"/>
      <c r="AH28" s="83"/>
      <c r="AI28" s="41"/>
      <c r="AJ28" s="83"/>
      <c r="AK28" s="41"/>
      <c r="AL28" s="32"/>
      <c r="AM28" s="32"/>
      <c r="AN28" s="32"/>
    </row>
    <row r="29" spans="15:40" ht="12.75">
      <c r="O29" s="107" t="s">
        <v>188</v>
      </c>
      <c r="Q29" s="14"/>
      <c r="R29" s="14"/>
      <c r="S29" s="111" t="s">
        <v>134</v>
      </c>
      <c r="T29" s="14"/>
      <c r="U29" s="14"/>
      <c r="AA29" s="1"/>
      <c r="AF29" s="83"/>
      <c r="AG29" s="41"/>
      <c r="AH29" s="83"/>
      <c r="AI29" s="41"/>
      <c r="AJ29" s="83"/>
      <c r="AK29" s="41"/>
      <c r="AL29" s="32"/>
      <c r="AM29" s="32"/>
      <c r="AN29" s="32"/>
    </row>
    <row r="30" spans="15:40" ht="13.5" thickBot="1">
      <c r="O30" s="20" t="s">
        <v>187</v>
      </c>
      <c r="Y30" s="20" t="s">
        <v>50</v>
      </c>
      <c r="AA30" s="1"/>
      <c r="AC30" s="41"/>
      <c r="AD30" s="83"/>
      <c r="AE30" s="41"/>
      <c r="AF30" s="83"/>
      <c r="AG30" s="41"/>
      <c r="AH30" s="83"/>
      <c r="AI30" s="41"/>
      <c r="AJ30" s="83"/>
      <c r="AK30" s="41"/>
      <c r="AL30" s="32"/>
      <c r="AM30" s="32"/>
      <c r="AN30" s="32"/>
    </row>
    <row r="31" spans="16:40" ht="13.5" thickTop="1">
      <c r="P31" s="21"/>
      <c r="Q31" t="s">
        <v>25</v>
      </c>
      <c r="R31" t="s">
        <v>44</v>
      </c>
      <c r="S31" t="s">
        <v>24</v>
      </c>
      <c r="T31" s="30" t="s">
        <v>45</v>
      </c>
      <c r="U31" t="s">
        <v>26</v>
      </c>
      <c r="V31" t="s">
        <v>23</v>
      </c>
      <c r="W31" t="s">
        <v>27</v>
      </c>
      <c r="X31" t="s">
        <v>28</v>
      </c>
      <c r="Y31" s="1"/>
      <c r="Z31" s="137" t="s">
        <v>45</v>
      </c>
      <c r="AA31" s="1"/>
      <c r="AC31" s="41"/>
      <c r="AD31" s="83"/>
      <c r="AE31" s="41"/>
      <c r="AF31" s="83"/>
      <c r="AG31" s="41"/>
      <c r="AH31" s="83"/>
      <c r="AI31" s="41"/>
      <c r="AJ31" s="83"/>
      <c r="AK31" s="41"/>
      <c r="AL31" s="32"/>
      <c r="AM31" s="32"/>
      <c r="AN31" s="32"/>
    </row>
    <row r="32" spans="15:40" s="69" customFormat="1" ht="15.75">
      <c r="O32"/>
      <c r="P32" s="21" t="s">
        <v>35</v>
      </c>
      <c r="Q32" s="57">
        <f>Q35/4</f>
        <v>10</v>
      </c>
      <c r="R32" s="17">
        <f>Q32/2</f>
        <v>5</v>
      </c>
      <c r="S32" s="31">
        <v>193.64916731037084</v>
      </c>
      <c r="T32" s="112">
        <v>196.82458365518542</v>
      </c>
      <c r="U32" s="30">
        <f>((Z43-S32)^2+Q32^2)^(1/2)</f>
        <v>147.98742043648807</v>
      </c>
      <c r="V32" s="58"/>
      <c r="W32" s="30">
        <f>U32*T32^2</f>
        <v>5733020.344950523</v>
      </c>
      <c r="X32" s="30">
        <f>U32*R32^2</f>
        <v>3699.6855109122016</v>
      </c>
      <c r="Y32" s="1"/>
      <c r="Z32" s="138">
        <f>(Z43-S32)/2+S32</f>
        <v>119.82458365518542</v>
      </c>
      <c r="AA32" s="1"/>
      <c r="AB32"/>
      <c r="AC32" s="70"/>
      <c r="AD32" s="82"/>
      <c r="AE32" s="32"/>
      <c r="AF32" s="32"/>
      <c r="AG32" s="70"/>
      <c r="AH32" s="82"/>
      <c r="AI32" s="70"/>
      <c r="AJ32" s="82"/>
      <c r="AK32" s="70"/>
      <c r="AL32" s="32"/>
      <c r="AM32" s="32"/>
      <c r="AN32" s="32"/>
    </row>
    <row r="33" spans="15:40" s="69" customFormat="1" ht="15.75">
      <c r="O33"/>
      <c r="P33" s="21" t="s">
        <v>32</v>
      </c>
      <c r="Q33" s="57">
        <f>2*Q32</f>
        <v>20</v>
      </c>
      <c r="R33" s="17">
        <f>R32+Q32</f>
        <v>15</v>
      </c>
      <c r="S33" s="31">
        <v>173.20508075688772</v>
      </c>
      <c r="T33" s="112">
        <v>183.4271240336293</v>
      </c>
      <c r="U33" s="30">
        <f>((S32-S33)^2+(Q33-Q32)^2)^(1/2)</f>
        <v>22.758749416571842</v>
      </c>
      <c r="V33" s="58"/>
      <c r="W33" s="30">
        <f>U33*T33^2</f>
        <v>765729.7272421872</v>
      </c>
      <c r="X33" s="30">
        <f>U33*R33^2</f>
        <v>5120.718618728664</v>
      </c>
      <c r="Y33" s="1"/>
      <c r="Z33" s="138">
        <f>(S32-S33)/2+S33</f>
        <v>183.4271240336293</v>
      </c>
      <c r="AA33" s="1"/>
      <c r="AB33"/>
      <c r="AC33" s="70"/>
      <c r="AD33" s="82"/>
      <c r="AE33" s="32"/>
      <c r="AF33" s="32"/>
      <c r="AG33" s="70"/>
      <c r="AH33" s="82"/>
      <c r="AI33" s="70"/>
      <c r="AJ33" s="82"/>
      <c r="AK33" s="70"/>
      <c r="AL33" s="32"/>
      <c r="AM33" s="32"/>
      <c r="AN33" s="32"/>
    </row>
    <row r="34" spans="16:27" ht="15.75">
      <c r="P34" s="21" t="s">
        <v>33</v>
      </c>
      <c r="Q34" s="57">
        <f>Q32+Q33</f>
        <v>30</v>
      </c>
      <c r="R34" s="17">
        <f>R33+Q32</f>
        <v>25</v>
      </c>
      <c r="S34" s="31">
        <v>132.28756555322954</v>
      </c>
      <c r="T34" s="112">
        <v>152.74632315505863</v>
      </c>
      <c r="U34" s="30">
        <f>((S33-S34)^2+(Q34-Q33)^2)^(1/2)</f>
        <v>42.12176456941944</v>
      </c>
      <c r="V34" s="58"/>
      <c r="W34" s="30">
        <f>U34*T34^2</f>
        <v>982761.3906230398</v>
      </c>
      <c r="X34" s="30">
        <f>U34*R34^2</f>
        <v>26326.10285588715</v>
      </c>
      <c r="Z34" s="138">
        <f>(S33-S34)/2+S34</f>
        <v>152.74632315505863</v>
      </c>
      <c r="AA34" s="1"/>
    </row>
    <row r="35" spans="10:27" ht="24" thickBot="1">
      <c r="J35" s="25"/>
      <c r="L35" s="27"/>
      <c r="O35" s="117" t="str">
        <f>vale1(S26,P10,P11)</f>
        <v>NON VALIDO</v>
      </c>
      <c r="P35" s="21" t="s">
        <v>34</v>
      </c>
      <c r="Q35" s="57">
        <f>P11</f>
        <v>40</v>
      </c>
      <c r="R35" s="17">
        <f>R34+Q32</f>
        <v>35</v>
      </c>
      <c r="S35" s="31">
        <v>0</v>
      </c>
      <c r="T35" s="112">
        <v>88.19171036881968</v>
      </c>
      <c r="U35" s="30">
        <f>((S34-S35)^2+(Q35-Q34)^2)^(1/2)</f>
        <v>132.664991614216</v>
      </c>
      <c r="V35" s="58"/>
      <c r="W35" s="30">
        <f>U35*T35^2</f>
        <v>1031838.8236661245</v>
      </c>
      <c r="X35" s="30">
        <f>U35*R35^2</f>
        <v>162514.61472741462</v>
      </c>
      <c r="Z35" s="138">
        <f>(S34-S35)*(2/3)+S35</f>
        <v>88.19171036881968</v>
      </c>
      <c r="AA35" s="1"/>
    </row>
    <row r="36" spans="4:26" ht="13.5" thickBot="1">
      <c r="D36" s="13" t="s">
        <v>11</v>
      </c>
      <c r="E36" s="14"/>
      <c r="F36" s="14"/>
      <c r="Q36" s="84"/>
      <c r="T36" s="7" t="s">
        <v>78</v>
      </c>
      <c r="U36" s="221">
        <f>bianc2(S26,V36)</f>
      </c>
      <c r="V36" s="115">
        <f>U32+U33+U34+U35</f>
        <v>345.53292603669536</v>
      </c>
      <c r="W36" s="52">
        <f>W32+W33+W34+W35</f>
        <v>8513350.286481874</v>
      </c>
      <c r="X36" s="53">
        <f>X32+X33+X34+X35</f>
        <v>197661.12171294264</v>
      </c>
      <c r="Z36" s="139" t="s">
        <v>70</v>
      </c>
    </row>
    <row r="37" spans="4:26" ht="21" thickBot="1">
      <c r="D37" s="15" t="s">
        <v>12</v>
      </c>
      <c r="E37" s="14"/>
      <c r="F37" s="14"/>
      <c r="I37" s="102"/>
      <c r="J37" s="25"/>
      <c r="L37" s="28"/>
      <c r="Q37" s="84"/>
      <c r="U37" s="85"/>
      <c r="W37" s="118">
        <f>W36+X36</f>
        <v>8711011.408194818</v>
      </c>
      <c r="X37" s="85"/>
      <c r="Z37" s="140" t="s">
        <v>71</v>
      </c>
    </row>
    <row r="38" spans="19:23" ht="13.5" thickTop="1">
      <c r="S38" s="59"/>
      <c r="V38" s="74" t="s">
        <v>53</v>
      </c>
      <c r="W38" s="30">
        <f>bianc2(S26,W37)</f>
      </c>
    </row>
    <row r="39" spans="2:4" ht="12.75">
      <c r="B39" s="107"/>
      <c r="D39" t="s">
        <v>17</v>
      </c>
    </row>
    <row r="40" spans="3:32" ht="15.75">
      <c r="C40" s="80" t="s">
        <v>18</v>
      </c>
      <c r="G40" s="24" t="s">
        <v>15</v>
      </c>
      <c r="O40" s="107" t="s">
        <v>56</v>
      </c>
      <c r="P40" s="20" t="s">
        <v>77</v>
      </c>
      <c r="Q40" s="20"/>
      <c r="U40" t="s">
        <v>31</v>
      </c>
      <c r="X40" s="20" t="s">
        <v>50</v>
      </c>
      <c r="Y40" s="1"/>
      <c r="Z40" s="1"/>
      <c r="AF40" s="21"/>
    </row>
    <row r="41" spans="7:26" ht="12.75">
      <c r="G41" s="19" t="s">
        <v>16</v>
      </c>
      <c r="P41" s="21"/>
      <c r="Q41" t="s">
        <v>25</v>
      </c>
      <c r="R41" t="s">
        <v>44</v>
      </c>
      <c r="S41" t="s">
        <v>24</v>
      </c>
      <c r="T41" t="s">
        <v>45</v>
      </c>
      <c r="U41" t="s">
        <v>26</v>
      </c>
      <c r="V41" t="s">
        <v>23</v>
      </c>
      <c r="W41" t="s">
        <v>27</v>
      </c>
      <c r="X41" t="s">
        <v>28</v>
      </c>
      <c r="Y41" s="1"/>
      <c r="Z41" s="1"/>
    </row>
    <row r="42" spans="4:26" ht="12.75">
      <c r="D42" s="20"/>
      <c r="M42" s="19" t="s">
        <v>178</v>
      </c>
      <c r="P42" s="21" t="s">
        <v>35</v>
      </c>
      <c r="Q42" s="29">
        <f>Z44/4</f>
        <v>10</v>
      </c>
      <c r="R42" s="29">
        <f>Q42/2</f>
        <v>5</v>
      </c>
      <c r="S42" s="30">
        <f>((1-(Q42^2)/(Z44^2))*(Z43^2))^(1/2)</f>
        <v>44.53930848138529</v>
      </c>
      <c r="T42" s="30">
        <f>((1-R42^2/Z44^2)*Z43^2)^(1/2)</f>
        <v>45.63921011586419</v>
      </c>
      <c r="U42" s="30">
        <f>((Z43-S42)^2+Q42^2)^(1/2)</f>
        <v>10.106117934823091</v>
      </c>
      <c r="V42" s="49">
        <f>U42*Z45</f>
        <v>16.169788695716946</v>
      </c>
      <c r="W42" s="114">
        <f>U42*T42^2</f>
        <v>21050.41202586557</v>
      </c>
      <c r="X42" s="120">
        <f>U42*R42^2</f>
        <v>252.6529483705773</v>
      </c>
      <c r="Y42" s="71"/>
      <c r="Z42" s="71" t="str">
        <f>Foglio2!S9</f>
        <v>in B</v>
      </c>
    </row>
    <row r="43" spans="2:26" ht="12.75">
      <c r="B43" s="21" t="s">
        <v>22</v>
      </c>
      <c r="F43" s="32"/>
      <c r="G43" s="197" t="s">
        <v>36</v>
      </c>
      <c r="H43" s="198" t="s">
        <v>37</v>
      </c>
      <c r="I43" s="228">
        <f>P14*(P10^2)/2-P14/2/U46*(W48)</f>
        <v>730.947422531277</v>
      </c>
      <c r="J43" s="199"/>
      <c r="K43" s="200" t="s">
        <v>179</v>
      </c>
      <c r="L43" s="201"/>
      <c r="M43" s="204" t="s">
        <v>148</v>
      </c>
      <c r="N43" s="34"/>
      <c r="P43" s="21" t="s">
        <v>32</v>
      </c>
      <c r="Q43" s="29">
        <f>2*Q42</f>
        <v>20</v>
      </c>
      <c r="R43" s="29">
        <f>R42+Q42</f>
        <v>15</v>
      </c>
      <c r="S43" s="30">
        <f>((1-(Q43^2)/(Z44^2))*(Z43^2))^(1/2)</f>
        <v>39.83716857408418</v>
      </c>
      <c r="T43" s="30">
        <f>((1-R43^2/Z44^2)*Z43^2)^(1/2)</f>
        <v>42.64314130080006</v>
      </c>
      <c r="U43" s="30">
        <f>((S42-S43)^2+(Q43-Q42)^2)^(1/2)</f>
        <v>11.050344777781085</v>
      </c>
      <c r="V43" s="49">
        <f>U43*Z45</f>
        <v>17.680551644449736</v>
      </c>
      <c r="W43" s="114">
        <f>U43*T43^2</f>
        <v>20094.36133184629</v>
      </c>
      <c r="X43" s="120">
        <f>U43*R43^2</f>
        <v>2486.327575000744</v>
      </c>
      <c r="Y43" s="76" t="str">
        <f>Foglio2!R10</f>
        <v>a &gt;&gt; b</v>
      </c>
      <c r="Z43" s="76">
        <f>Foglio2!P10</f>
        <v>46</v>
      </c>
    </row>
    <row r="44" spans="2:26" ht="12.75">
      <c r="B44" s="21"/>
      <c r="F44" s="32" t="s">
        <v>20</v>
      </c>
      <c r="G44" s="202" t="s">
        <v>54</v>
      </c>
      <c r="H44" s="205">
        <f>-P14*P10</f>
        <v>-276</v>
      </c>
      <c r="I44" s="203"/>
      <c r="J44" s="199"/>
      <c r="K44" s="199"/>
      <c r="L44" s="199"/>
      <c r="M44" s="204" t="s">
        <v>149</v>
      </c>
      <c r="N44" s="32"/>
      <c r="P44" s="21" t="s">
        <v>33</v>
      </c>
      <c r="Q44" s="29">
        <f>Q42+Q43</f>
        <v>30</v>
      </c>
      <c r="R44" s="29">
        <f>R43+Q42</f>
        <v>25</v>
      </c>
      <c r="S44" s="30">
        <f>((1-Q44^2/Z44^2)*Z43^2)^(1/2)</f>
        <v>30.426140077242792</v>
      </c>
      <c r="T44" s="30">
        <f>((1-R44^2/Z44^2)*Z43^2)^(1/2)</f>
        <v>35.90873849079079</v>
      </c>
      <c r="U44" s="30">
        <f>((S43-S44)^2+(Q44-Q43)^2)^(1/2)</f>
        <v>13.731986650458145</v>
      </c>
      <c r="V44" s="49">
        <f>U44*Z45</f>
        <v>21.971178640733033</v>
      </c>
      <c r="W44" s="114">
        <f>U44*T44^2</f>
        <v>17706.538536600125</v>
      </c>
      <c r="X44" s="30">
        <f>U44*R44^2</f>
        <v>8582.49165653634</v>
      </c>
      <c r="Y44" s="76" t="str">
        <f>Foglio2!R11</f>
        <v>b</v>
      </c>
      <c r="Z44" s="76">
        <f>Foglio2!P11</f>
        <v>40</v>
      </c>
    </row>
    <row r="45" spans="6:27" ht="13.5" thickBot="1">
      <c r="F45" s="32"/>
      <c r="G45" s="42"/>
      <c r="H45" s="32"/>
      <c r="I45" s="32"/>
      <c r="J45" s="32"/>
      <c r="K45" s="32"/>
      <c r="L45" s="32"/>
      <c r="M45" s="35"/>
      <c r="N45" s="32"/>
      <c r="O45" s="117" t="str">
        <f>vale(S26,P10,P11)</f>
        <v>VALIDO</v>
      </c>
      <c r="P45" s="21" t="s">
        <v>34</v>
      </c>
      <c r="Q45" s="29">
        <f>2*Q43</f>
        <v>40</v>
      </c>
      <c r="R45" s="29">
        <f>R44+Q42</f>
        <v>35</v>
      </c>
      <c r="S45" s="30">
        <f>((1-Q45^2/Z44^2)*Z43^2)^(1/2)</f>
        <v>0</v>
      </c>
      <c r="T45" s="30">
        <f>((1-R45^2/Z44^2)*Z43^2)^(1/2)</f>
        <v>22.269654240692645</v>
      </c>
      <c r="U45" s="30">
        <f>(((S44-S45)^2+(Q45-Q44)^2)^(1/2))</f>
        <v>32.02733207746159</v>
      </c>
      <c r="V45" s="49">
        <f>U45*Z45</f>
        <v>51.24373132393854</v>
      </c>
      <c r="W45" s="114">
        <f>U45*T45^2</f>
        <v>15883.555002166104</v>
      </c>
      <c r="X45" s="30">
        <f>U45*R45^2</f>
        <v>39233.481794890446</v>
      </c>
      <c r="Y45" s="76" t="str">
        <f>Foglio2!R12</f>
        <v>h</v>
      </c>
      <c r="Z45" s="76">
        <f>Foglio2!P12</f>
        <v>1.6</v>
      </c>
      <c r="AA45" s="32"/>
    </row>
    <row r="46" spans="3:24" ht="13.5" thickBot="1">
      <c r="C46" s="21"/>
      <c r="E46" s="20" t="s">
        <v>19</v>
      </c>
      <c r="F46" s="32"/>
      <c r="G46" s="206" t="s">
        <v>36</v>
      </c>
      <c r="H46" s="207">
        <f>P14*P10*(Foglio3!E40^2)/2*Foglio3!E49/Foglio3!E45*(1-Foglio2!P12/(Foglio2!P10+Foglio2!P11))</f>
        <v>868.2607136815461</v>
      </c>
      <c r="I46" s="72" t="s">
        <v>51</v>
      </c>
      <c r="J46" s="225" t="s">
        <v>63</v>
      </c>
      <c r="K46" s="224">
        <f>elorno(S26,U46,U36)</f>
        <v>66.91578144052392</v>
      </c>
      <c r="L46" s="144"/>
      <c r="M46" s="32"/>
      <c r="N46" s="32"/>
      <c r="P46" s="21"/>
      <c r="T46" s="7" t="s">
        <v>78</v>
      </c>
      <c r="U46" s="51">
        <f>bianc3(S26,V46)</f>
        <v>66.91578144052392</v>
      </c>
      <c r="V46" s="115">
        <f>U42+U43+U44+U45</f>
        <v>66.91578144052392</v>
      </c>
      <c r="W46" s="121">
        <f>W42+W43+W44+W45</f>
        <v>74734.8668964781</v>
      </c>
      <c r="X46" s="53">
        <f>X42+X43+X44+X45</f>
        <v>50554.9539747981</v>
      </c>
    </row>
    <row r="47" spans="4:23" ht="13.5" thickBot="1">
      <c r="D47" s="20"/>
      <c r="F47" s="32"/>
      <c r="G47" s="208" t="s">
        <v>54</v>
      </c>
      <c r="H47" s="209">
        <f>-P14*P10*(1-1/2*P12/P10)</f>
        <v>-271.2</v>
      </c>
      <c r="I47" s="32" t="s">
        <v>55</v>
      </c>
      <c r="J47" s="225" t="s">
        <v>63</v>
      </c>
      <c r="K47" s="119">
        <f>elorno1(S26,P10,P11,W48,W38)</f>
        <v>125289.8208712762</v>
      </c>
      <c r="M47" s="32"/>
      <c r="N47" s="32"/>
      <c r="P47" s="21"/>
      <c r="S47" s="54"/>
      <c r="T47" s="55" t="s">
        <v>46</v>
      </c>
      <c r="U47" s="220">
        <f>1/4*Z43*2*3.1416*(1-(1/2)^2*W47^2-(1/2/4)^2*3*W47^4-(3/2/4/6)^2*5*W47^6)</f>
        <v>67.62985220529391</v>
      </c>
      <c r="V47" s="43" t="s">
        <v>47</v>
      </c>
      <c r="W47" s="50">
        <f>1/Z43*(Z43^2-Z44^2)^(1/2)</f>
        <v>0.4938181170261107</v>
      </c>
    </row>
    <row r="48" spans="5:26" ht="12.75">
      <c r="E48" s="77"/>
      <c r="F48" s="32"/>
      <c r="G48" s="42"/>
      <c r="H48" s="37"/>
      <c r="I48" s="32"/>
      <c r="J48" s="40"/>
      <c r="K48" s="32"/>
      <c r="L48" s="32"/>
      <c r="M48" s="35"/>
      <c r="N48" s="32"/>
      <c r="P48" s="21"/>
      <c r="T48" s="56" t="s">
        <v>48</v>
      </c>
      <c r="V48" s="74" t="s">
        <v>53</v>
      </c>
      <c r="W48" s="113">
        <f>bianc1(P10,P11,Y51,S26)</f>
        <v>125289.8208712762</v>
      </c>
      <c r="X48" t="s">
        <v>186</v>
      </c>
      <c r="Y48" s="32"/>
      <c r="Z48" s="32"/>
    </row>
    <row r="49" spans="6:24" ht="12.75">
      <c r="F49" s="32"/>
      <c r="G49" s="21" t="s">
        <v>61</v>
      </c>
      <c r="H49">
        <f>1/12*1*P12^3/(P12/2+(P16-P18))</f>
        <v>0.4234199890793817</v>
      </c>
      <c r="I49" s="33" t="s">
        <v>79</v>
      </c>
      <c r="J49" s="210">
        <f>1/6*P12^2</f>
        <v>0.42666666666666675</v>
      </c>
      <c r="K49" s="32" t="s">
        <v>150</v>
      </c>
      <c r="L49" s="32"/>
      <c r="M49" s="32"/>
      <c r="N49" s="32"/>
      <c r="U49" s="1"/>
      <c r="V49" s="74"/>
      <c r="W49" s="173"/>
      <c r="X49" s="1"/>
    </row>
    <row r="50" spans="6:25" ht="12.75">
      <c r="F50" s="32"/>
      <c r="G50" s="21" t="s">
        <v>62</v>
      </c>
      <c r="H50">
        <f>1/12*1*P12^3/(P12/2-(P16-P18))</f>
        <v>0.42996351838480423</v>
      </c>
      <c r="I50" s="32"/>
      <c r="K50" s="19" t="s">
        <v>151</v>
      </c>
      <c r="Q50" s="115"/>
      <c r="R50" s="115" t="s">
        <v>72</v>
      </c>
      <c r="S50" s="115" t="s">
        <v>73</v>
      </c>
      <c r="T50" s="115" t="s">
        <v>75</v>
      </c>
      <c r="U50" s="115" t="s">
        <v>74</v>
      </c>
      <c r="V50" s="115"/>
      <c r="W50" s="227"/>
      <c r="X50" s="115" t="s">
        <v>76</v>
      </c>
      <c r="Y50" s="115">
        <f>W46+X46</f>
        <v>125289.8208712762</v>
      </c>
    </row>
    <row r="51" spans="4:25" ht="12.75">
      <c r="D51" t="s">
        <v>4</v>
      </c>
      <c r="F51" s="32"/>
      <c r="I51" s="32"/>
      <c r="O51" s="32"/>
      <c r="Q51" s="115">
        <v>1</v>
      </c>
      <c r="R51" s="115">
        <f>S42/Q42</f>
        <v>4.453930848138529</v>
      </c>
      <c r="S51" s="115">
        <f>ATAN(R51)</f>
        <v>1.3499380657313313</v>
      </c>
      <c r="T51" s="115">
        <f>DEGREES(S51)</f>
        <v>77.3457537704592</v>
      </c>
      <c r="U51" s="115">
        <f>3.1416/2*P10-3.1416/2*P10*(T51/90)</f>
        <v>10.1595037662076</v>
      </c>
      <c r="V51" s="115"/>
      <c r="W51" s="227"/>
      <c r="X51" s="115">
        <f>U51*R42^2</f>
        <v>253.98759415518998</v>
      </c>
      <c r="Y51" s="116">
        <f>W46+X46</f>
        <v>125289.8208712762</v>
      </c>
    </row>
    <row r="52" spans="6:25" ht="12.75">
      <c r="F52" s="35"/>
      <c r="G52" s="211" t="s">
        <v>154</v>
      </c>
      <c r="I52" s="36"/>
      <c r="Q52" s="115">
        <v>2</v>
      </c>
      <c r="R52" s="115">
        <f>S43/Q43</f>
        <v>1.9918584287042091</v>
      </c>
      <c r="S52" s="115">
        <f>ATAN(R52)</f>
        <v>1.1055150848478161</v>
      </c>
      <c r="T52" s="115">
        <f>DEGREES(S52)</f>
        <v>63.34134854982697</v>
      </c>
      <c r="U52" s="115">
        <f>3.1416/2*P10-3.1416/2*P10*(T52/90)-U51</f>
        <v>11.243483412735316</v>
      </c>
      <c r="V52" s="115"/>
      <c r="W52" s="227"/>
      <c r="X52" s="115">
        <f>U52*R43^2</f>
        <v>2529.783767865446</v>
      </c>
      <c r="Y52" s="115"/>
    </row>
    <row r="53" spans="6:25" ht="12.75">
      <c r="F53" s="35"/>
      <c r="G53" s="211" t="s">
        <v>153</v>
      </c>
      <c r="I53" s="32"/>
      <c r="J53" s="32"/>
      <c r="Q53" s="115">
        <v>3</v>
      </c>
      <c r="R53" s="115">
        <f>S44/Q44</f>
        <v>1.0142046692414264</v>
      </c>
      <c r="S53" s="115">
        <f>ATAN(R53)</f>
        <v>0.7924502936895966</v>
      </c>
      <c r="T53" s="115">
        <f>DEGREES(S53)</f>
        <v>45.40405730231646</v>
      </c>
      <c r="U53" s="115">
        <f>3.1416/2*P10-U51-U52-U54</f>
        <v>14.401014069034638</v>
      </c>
      <c r="V53" s="115"/>
      <c r="W53" s="227"/>
      <c r="X53" s="115">
        <f>U53*R44^2</f>
        <v>9000.633793146648</v>
      </c>
      <c r="Y53" s="115"/>
    </row>
    <row r="54" spans="6:25" ht="12.75">
      <c r="F54" s="32"/>
      <c r="I54" s="32"/>
      <c r="J54" s="32"/>
      <c r="L54" s="73" t="s">
        <v>66</v>
      </c>
      <c r="Q54" s="115">
        <v>4</v>
      </c>
      <c r="R54" s="115">
        <f>S45/Q45</f>
        <v>0</v>
      </c>
      <c r="S54" s="115">
        <f>ATAN(R54)</f>
        <v>0</v>
      </c>
      <c r="T54" s="115">
        <f>DEGREES(S54)</f>
        <v>0</v>
      </c>
      <c r="U54" s="115">
        <f>3.1416/2*P10*(T53/90)</f>
        <v>36.452798752022446</v>
      </c>
      <c r="V54" s="115"/>
      <c r="W54" s="227"/>
      <c r="X54" s="115">
        <f>U54*R45^2</f>
        <v>44654.6784712275</v>
      </c>
      <c r="Y54" s="115"/>
    </row>
    <row r="55" spans="6:25" ht="12.75">
      <c r="F55" s="32"/>
      <c r="G55" s="32"/>
      <c r="H55" s="32"/>
      <c r="I55" s="32"/>
      <c r="J55" s="32"/>
      <c r="L55" s="7" t="s">
        <v>68</v>
      </c>
      <c r="Q55" s="115"/>
      <c r="R55" s="115"/>
      <c r="S55" s="115"/>
      <c r="T55" s="115"/>
      <c r="U55" s="115"/>
      <c r="V55" s="115"/>
      <c r="W55" s="227"/>
      <c r="X55" s="115">
        <f>X51+X52+X53+X54</f>
        <v>56439.08362639478</v>
      </c>
      <c r="Y55" s="115"/>
    </row>
    <row r="56" spans="6:29" ht="21.75">
      <c r="F56" s="32"/>
      <c r="G56" s="62"/>
      <c r="H56" s="128"/>
      <c r="I56" s="72"/>
      <c r="J56" s="130"/>
      <c r="K56" s="88" t="s">
        <v>57</v>
      </c>
      <c r="L56" s="89">
        <f>1-((P12/2-P16+P18)/P18)</f>
        <v>0.9771723323475981</v>
      </c>
      <c r="M56" s="90"/>
      <c r="N56" s="87"/>
      <c r="O56" s="19" t="s">
        <v>180</v>
      </c>
      <c r="P56" s="87"/>
      <c r="R56" s="33"/>
      <c r="S56" s="81"/>
      <c r="T56" s="81"/>
      <c r="U56" s="78"/>
      <c r="V56" s="78"/>
      <c r="W56" s="81"/>
      <c r="X56" s="81"/>
      <c r="Y56" s="81"/>
      <c r="Z56" s="81"/>
      <c r="AA56" s="41"/>
      <c r="AB56" s="83"/>
      <c r="AC56" s="41"/>
    </row>
    <row r="57" spans="6:27" ht="12.75">
      <c r="F57" s="32"/>
      <c r="G57" s="32"/>
      <c r="H57" s="32"/>
      <c r="I57" s="32"/>
      <c r="J57" s="131"/>
      <c r="K57" s="91" t="s">
        <v>58</v>
      </c>
      <c r="L57" s="86">
        <f>1+((P12/2+P16-P18)/P18)</f>
        <v>1.0231804462554686</v>
      </c>
      <c r="M57" s="92"/>
      <c r="O57" s="73" t="s">
        <v>184</v>
      </c>
      <c r="X57" s="81"/>
      <c r="Y57" s="41"/>
      <c r="Z57" s="83"/>
      <c r="AA57" s="41"/>
    </row>
    <row r="58" spans="6:27" ht="12.75">
      <c r="F58" s="32"/>
      <c r="G58" s="32"/>
      <c r="H58" s="128"/>
      <c r="I58" s="72"/>
      <c r="J58" s="130"/>
      <c r="K58" s="93" t="s">
        <v>59</v>
      </c>
      <c r="L58" s="86">
        <f>(P12/2-(P16-P18))/P19</f>
        <v>2.3253685610434602</v>
      </c>
      <c r="M58" s="92"/>
      <c r="N58" s="122"/>
      <c r="O58" s="123" t="s">
        <v>181</v>
      </c>
      <c r="P58" s="86"/>
      <c r="X58" s="81"/>
      <c r="Y58" s="41"/>
      <c r="Z58" s="83"/>
      <c r="AA58" s="41"/>
    </row>
    <row r="59" spans="6:27" ht="21.75">
      <c r="F59" s="32"/>
      <c r="G59" s="62"/>
      <c r="H59" s="128"/>
      <c r="I59" s="72"/>
      <c r="J59" s="129"/>
      <c r="K59" s="94"/>
      <c r="L59" s="95"/>
      <c r="M59" s="96"/>
      <c r="N59" s="122"/>
      <c r="O59" s="123" t="s">
        <v>64</v>
      </c>
      <c r="P59" s="86"/>
      <c r="X59" s="81"/>
      <c r="Y59" s="41"/>
      <c r="Z59" s="83"/>
      <c r="AA59" s="41"/>
    </row>
    <row r="60" spans="6:24" ht="12.75">
      <c r="F60" s="69"/>
      <c r="G60" s="69"/>
      <c r="H60" s="69"/>
      <c r="I60" s="69"/>
      <c r="J60" s="69"/>
      <c r="K60" s="94"/>
      <c r="L60" s="97" t="s">
        <v>63</v>
      </c>
      <c r="M60" s="96"/>
      <c r="N60" s="86"/>
      <c r="P60" s="86"/>
      <c r="Q60" s="86"/>
      <c r="X60" s="81"/>
    </row>
    <row r="61" spans="7:16" ht="18">
      <c r="G61" s="23">
        <v>1</v>
      </c>
      <c r="K61" s="126" t="s">
        <v>65</v>
      </c>
      <c r="L61" s="133">
        <f>1/L56*(-H47/P12+L58*H46)</f>
        <v>2239.6522025203285</v>
      </c>
      <c r="M61" s="101" t="s">
        <v>0</v>
      </c>
      <c r="N61" s="99" t="s">
        <v>81</v>
      </c>
      <c r="O61" s="133">
        <f>H46/(1/6*1*P12^2)-H47/P15</f>
        <v>2204.486047691123</v>
      </c>
      <c r="P61" s="100" t="s">
        <v>0</v>
      </c>
    </row>
    <row r="62" spans="6:16" ht="18">
      <c r="F62" t="s">
        <v>60</v>
      </c>
      <c r="J62" s="20" t="s">
        <v>50</v>
      </c>
      <c r="K62" s="134" t="s">
        <v>80</v>
      </c>
      <c r="L62" s="132">
        <f>1/L57*(-H47/P12-F95*H46)</f>
        <v>165.65992892096284</v>
      </c>
      <c r="M62" s="127" t="s">
        <v>0</v>
      </c>
      <c r="O62" s="135"/>
      <c r="P62" s="87"/>
    </row>
    <row r="63" spans="5:9" ht="12.75">
      <c r="E63" s="23" t="s">
        <v>18</v>
      </c>
      <c r="I63" s="48">
        <v>2</v>
      </c>
    </row>
    <row r="64" spans="3:7" ht="12.75">
      <c r="C64" s="21" t="s">
        <v>5</v>
      </c>
      <c r="G64" s="45"/>
    </row>
    <row r="65" ht="12.75">
      <c r="J65" s="48">
        <v>3</v>
      </c>
    </row>
    <row r="66" spans="9:11" ht="12.75">
      <c r="I66" s="45"/>
      <c r="K66" t="s">
        <v>67</v>
      </c>
    </row>
    <row r="67" ht="12.75">
      <c r="F67" s="19" t="s">
        <v>39</v>
      </c>
    </row>
    <row r="68" ht="12.75">
      <c r="K68" t="s">
        <v>152</v>
      </c>
    </row>
    <row r="69" spans="6:15" ht="12.75">
      <c r="F69" s="46" t="s">
        <v>40</v>
      </c>
      <c r="J69" s="45"/>
      <c r="O69" s="21"/>
    </row>
    <row r="70" ht="12.75">
      <c r="K70" s="48">
        <v>4</v>
      </c>
    </row>
    <row r="71" spans="6:9" ht="12.75">
      <c r="F71" s="19"/>
      <c r="I71" s="7"/>
    </row>
    <row r="72" spans="6:7" ht="12.75">
      <c r="F72" t="s">
        <v>29</v>
      </c>
      <c r="G72" s="45"/>
    </row>
    <row r="73" spans="7:10" ht="12.75">
      <c r="G73" s="7"/>
      <c r="H73" s="20" t="s">
        <v>49</v>
      </c>
      <c r="J73" s="47"/>
    </row>
    <row r="74" ht="12.75">
      <c r="J74" s="7" t="s">
        <v>60</v>
      </c>
    </row>
    <row r="75" ht="12.75">
      <c r="H75" s="19"/>
    </row>
    <row r="76" spans="4:8" ht="12.75">
      <c r="D76" s="7" t="s">
        <v>38</v>
      </c>
      <c r="F76" s="44"/>
      <c r="H76" s="73" t="s">
        <v>42</v>
      </c>
    </row>
    <row r="77" ht="12.75">
      <c r="H77" s="47" t="s">
        <v>41</v>
      </c>
    </row>
    <row r="78" spans="6:10" ht="12.75">
      <c r="F78" s="45"/>
      <c r="G78" s="21" t="s">
        <v>30</v>
      </c>
      <c r="J78" s="7"/>
    </row>
    <row r="79" spans="8:10" ht="12.75">
      <c r="H79" s="46"/>
      <c r="J79" s="77" t="s">
        <v>19</v>
      </c>
    </row>
    <row r="80" spans="7:9" ht="12.75">
      <c r="G80" s="20"/>
      <c r="I80" s="46"/>
    </row>
    <row r="81" spans="8:10" ht="12.75">
      <c r="H81" s="44"/>
      <c r="J81" s="7" t="s">
        <v>5</v>
      </c>
    </row>
    <row r="82" spans="6:9" ht="12.75">
      <c r="F82" s="7" t="s">
        <v>43</v>
      </c>
      <c r="G82" s="21" t="s">
        <v>43</v>
      </c>
      <c r="H82" s="7" t="s">
        <v>52</v>
      </c>
      <c r="I82" s="7" t="s">
        <v>43</v>
      </c>
    </row>
    <row r="84" ht="12.75">
      <c r="G84" s="7" t="s">
        <v>4</v>
      </c>
    </row>
    <row r="87" spans="3:11" ht="12.75">
      <c r="C87" s="32"/>
      <c r="D87" s="32"/>
      <c r="E87" s="32"/>
      <c r="F87" s="32"/>
      <c r="G87" s="212"/>
      <c r="H87" s="32"/>
      <c r="I87" s="32"/>
      <c r="J87" s="32"/>
      <c r="K87" s="32"/>
    </row>
    <row r="88" spans="3:11" ht="12.75">
      <c r="C88" s="32"/>
      <c r="D88" s="32"/>
      <c r="E88" s="32"/>
      <c r="F88" s="32"/>
      <c r="G88" s="35"/>
      <c r="H88" s="32"/>
      <c r="I88" s="32"/>
      <c r="J88" s="32"/>
      <c r="K88" s="32"/>
    </row>
    <row r="89" spans="3:11" ht="12.75">
      <c r="C89" s="32"/>
      <c r="D89" s="32"/>
      <c r="E89" s="32"/>
      <c r="F89" s="32"/>
      <c r="G89" s="32"/>
      <c r="H89" s="32"/>
      <c r="I89" s="32"/>
      <c r="J89" s="32"/>
      <c r="K89" s="32"/>
    </row>
    <row r="90" spans="3:11" ht="12.75">
      <c r="C90" s="32"/>
      <c r="D90" s="32"/>
      <c r="E90" s="32"/>
      <c r="F90" s="213"/>
      <c r="G90" s="32"/>
      <c r="H90" s="32"/>
      <c r="I90" s="32"/>
      <c r="J90" s="32"/>
      <c r="K90" s="32"/>
    </row>
    <row r="91" spans="3:11" ht="12.75">
      <c r="C91" s="32"/>
      <c r="D91" s="32"/>
      <c r="E91" s="32"/>
      <c r="F91" s="37"/>
      <c r="G91" s="32"/>
      <c r="H91" s="32"/>
      <c r="I91" s="32"/>
      <c r="J91" s="32"/>
      <c r="K91" s="32"/>
    </row>
    <row r="92" spans="3:11" ht="12.75">
      <c r="C92" s="32"/>
      <c r="D92" s="32"/>
      <c r="E92" s="103"/>
      <c r="F92" s="86"/>
      <c r="G92" s="86"/>
      <c r="H92" s="33"/>
      <c r="I92" s="214"/>
      <c r="J92" s="32"/>
      <c r="K92" s="32"/>
    </row>
    <row r="93" spans="3:11" ht="12.75">
      <c r="C93" s="32"/>
      <c r="D93" s="32"/>
      <c r="E93" s="103"/>
      <c r="F93" s="86"/>
      <c r="G93" s="86"/>
      <c r="H93" s="33"/>
      <c r="I93" s="32"/>
      <c r="J93" s="32"/>
      <c r="K93" s="32"/>
    </row>
    <row r="94" spans="3:11" ht="12.75">
      <c r="C94" s="32"/>
      <c r="D94" s="32"/>
      <c r="E94" s="104"/>
      <c r="F94" s="86"/>
      <c r="G94" s="86"/>
      <c r="H94" s="32"/>
      <c r="I94" s="32"/>
      <c r="J94" s="32"/>
      <c r="K94" s="32"/>
    </row>
    <row r="95" spans="3:11" ht="12.75">
      <c r="C95" s="32"/>
      <c r="D95" s="32"/>
      <c r="E95" s="215"/>
      <c r="F95" s="86"/>
      <c r="G95" s="86"/>
      <c r="H95" s="32"/>
      <c r="I95" s="32"/>
      <c r="J95" s="32"/>
      <c r="K95" s="32"/>
    </row>
    <row r="96" spans="3:11" ht="12.75">
      <c r="C96" s="32"/>
      <c r="D96" s="32"/>
      <c r="E96" s="86"/>
      <c r="F96" s="97"/>
      <c r="G96" s="86"/>
      <c r="H96" s="32"/>
      <c r="I96" s="32"/>
      <c r="J96" s="32"/>
      <c r="K96" s="32"/>
    </row>
    <row r="97" spans="3:11" ht="18">
      <c r="C97" s="32"/>
      <c r="D97" s="32"/>
      <c r="E97" s="65"/>
      <c r="F97" s="216"/>
      <c r="G97" s="72"/>
      <c r="H97" s="32"/>
      <c r="I97" s="32"/>
      <c r="J97" s="32"/>
      <c r="K97" s="32"/>
    </row>
    <row r="98" spans="3:11" ht="12.75">
      <c r="C98" s="32"/>
      <c r="D98" s="32"/>
      <c r="E98" s="32"/>
      <c r="F98" s="32"/>
      <c r="G98" s="32"/>
      <c r="H98" s="32"/>
      <c r="I98" s="32"/>
      <c r="J98" s="32"/>
      <c r="K98" s="32"/>
    </row>
    <row r="99" spans="3:11" ht="12.75">
      <c r="C99" s="32"/>
      <c r="D99" s="32"/>
      <c r="E99" s="86"/>
      <c r="F99" s="97"/>
      <c r="G99" s="86"/>
      <c r="H99" s="32"/>
      <c r="I99" s="32"/>
      <c r="J99" s="32"/>
      <c r="K99" s="32"/>
    </row>
    <row r="100" spans="3:11" ht="18">
      <c r="C100" s="32"/>
      <c r="D100" s="32"/>
      <c r="E100" s="65"/>
      <c r="F100" s="216"/>
      <c r="G100" s="72"/>
      <c r="H100" s="32"/>
      <c r="I100" s="32"/>
      <c r="J100" s="32"/>
      <c r="K100" s="32"/>
    </row>
    <row r="101" spans="3:11" ht="12.75">
      <c r="C101" s="32"/>
      <c r="D101" s="32"/>
      <c r="E101" s="32"/>
      <c r="F101" s="32"/>
      <c r="G101" s="32"/>
      <c r="H101" s="32"/>
      <c r="I101" s="32"/>
      <c r="J101" s="32"/>
      <c r="K101" s="32"/>
    </row>
    <row r="102" spans="3:11" ht="12.75">
      <c r="C102" s="32"/>
      <c r="D102" s="32"/>
      <c r="E102" s="32"/>
      <c r="F102" s="32"/>
      <c r="G102" s="32"/>
      <c r="H102" s="32"/>
      <c r="I102" s="32"/>
      <c r="J102" s="32"/>
      <c r="K102" s="32"/>
    </row>
  </sheetData>
  <printOptions/>
  <pageMargins left="0.75" right="0.75" top="1" bottom="1" header="0.5" footer="0.5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33:T103"/>
  <sheetViews>
    <sheetView showGridLines="0" workbookViewId="0" topLeftCell="A24">
      <selection activeCell="E45" sqref="E45"/>
    </sheetView>
  </sheetViews>
  <sheetFormatPr defaultColWidth="9.140625" defaultRowHeight="12.75"/>
  <cols>
    <col min="6" max="6" width="10.28125" style="0" bestFit="1" customWidth="1"/>
  </cols>
  <sheetData>
    <row r="33" ht="18">
      <c r="D33" s="141" t="s">
        <v>130</v>
      </c>
    </row>
    <row r="34" ht="12.75">
      <c r="D34" s="19" t="s">
        <v>129</v>
      </c>
    </row>
    <row r="35" spans="11:14" ht="12.75">
      <c r="K35" s="75"/>
      <c r="N35" s="1"/>
    </row>
    <row r="36" spans="12:13" ht="15">
      <c r="L36" s="144"/>
      <c r="M36" s="174"/>
    </row>
    <row r="37" spans="4:6" ht="12.75">
      <c r="D37" s="21" t="s">
        <v>89</v>
      </c>
      <c r="E37" s="30">
        <f>Foglio2!S20</f>
        <v>2100000</v>
      </c>
      <c r="F37" s="75" t="s">
        <v>0</v>
      </c>
    </row>
    <row r="38" spans="4:14" ht="12.75">
      <c r="D38" s="21" t="s">
        <v>88</v>
      </c>
      <c r="E38" s="30">
        <f>Foglio2!S19</f>
        <v>0.3413935387504098</v>
      </c>
      <c r="F38" s="75" t="s">
        <v>2</v>
      </c>
      <c r="L38" s="25" t="s">
        <v>93</v>
      </c>
      <c r="M38" s="30">
        <f>2*Foglio2!P10*Foglio3!E54/Foglio2!S20/Foglio2!S19*Foglio3!E43*Foglio2!H46+(Foglio2!P10^3)*Foglio3!E54/Foglio2!S20/Foglio2!S19*((-Foglio3!E43+Foglio3!E44)*Foglio3!E40^2)*Foglio2!P14*(1-1/Foglio3!E55*Foglio3!E57)</f>
        <v>-0.8000069433097297</v>
      </c>
      <c r="N38" s="75" t="s">
        <v>1</v>
      </c>
    </row>
    <row r="39" spans="4:14" ht="21.75">
      <c r="D39" s="62" t="s">
        <v>47</v>
      </c>
      <c r="E39" s="29">
        <f>Foglio2!P17</f>
        <v>0.13043478260869568</v>
      </c>
      <c r="I39" s="100"/>
      <c r="J39" s="1"/>
      <c r="L39" s="25" t="s">
        <v>94</v>
      </c>
      <c r="M39" s="30">
        <f>-(2*Foglio2!P10/Foglio2!S20/Foglio2!S19*(Foglio3!E47-Foglio3!E48)*Foglio2!H46+Foglio2!P10^3/Foglio2!S20/Foglio2!S19*((-Foglio3!E49+Foglio3!E50)*Foglio3!E40^3)*Foglio2!P14*(1+1/Foglio3!E55*Foglio3!E57))</f>
        <v>2.0497791460940213</v>
      </c>
      <c r="N39" s="75" t="s">
        <v>1</v>
      </c>
    </row>
    <row r="40" spans="4:14" ht="12.75">
      <c r="D40" s="142" t="s">
        <v>47</v>
      </c>
      <c r="E40" s="30">
        <f>(1-Foglio2!P11^2/Foglio2!P10^2)^(1/2)</f>
        <v>0.4938181170261107</v>
      </c>
      <c r="F40" t="s">
        <v>86</v>
      </c>
      <c r="G40" s="30">
        <f>ASIN(E40)</f>
        <v>0.5164751408468758</v>
      </c>
      <c r="I40" s="1"/>
      <c r="J40" s="1"/>
      <c r="K40" s="1"/>
      <c r="L40" s="1"/>
      <c r="M40" s="145"/>
      <c r="N40" s="1"/>
    </row>
    <row r="41" spans="4:17" ht="18">
      <c r="D41" s="142" t="s">
        <v>83</v>
      </c>
      <c r="E41" s="30">
        <f>(Foglio2!P10^2/Foglio2!P11^2-1)^(1/2)</f>
        <v>0.5678908345800273</v>
      </c>
      <c r="F41" t="s">
        <v>87</v>
      </c>
      <c r="G41" s="30">
        <f>ASINH(E41)</f>
        <v>0.5410972793895242</v>
      </c>
      <c r="I41" s="1"/>
      <c r="J41" s="153" t="s">
        <v>117</v>
      </c>
      <c r="K41" s="153"/>
      <c r="L41" s="1" t="str">
        <f>G65</f>
        <v>p adm. =</v>
      </c>
      <c r="M41" s="167">
        <f>H65</f>
        <v>6.429569726851058</v>
      </c>
      <c r="N41" s="1" t="s">
        <v>0</v>
      </c>
      <c r="O41" s="166" t="s">
        <v>131</v>
      </c>
      <c r="P41" s="29">
        <f>L63</f>
        <v>2400</v>
      </c>
      <c r="Q41" t="s">
        <v>0</v>
      </c>
    </row>
    <row r="42" spans="1:20" ht="18">
      <c r="A42" s="157"/>
      <c r="B42" s="217" t="s">
        <v>98</v>
      </c>
      <c r="C42" s="157">
        <f>3.1416/2</f>
        <v>1.5708</v>
      </c>
      <c r="I42" s="1"/>
      <c r="J42" s="153" t="s">
        <v>118</v>
      </c>
      <c r="K42" s="165"/>
      <c r="L42" s="1" t="str">
        <f>G69</f>
        <v>p adm. =</v>
      </c>
      <c r="M42" s="167">
        <f>H69</f>
        <v>6.412391012214032</v>
      </c>
      <c r="N42" s="1" t="s">
        <v>0</v>
      </c>
      <c r="O42" s="166" t="s">
        <v>131</v>
      </c>
      <c r="P42" s="29">
        <f>P41</f>
        <v>2400</v>
      </c>
      <c r="Q42" t="s">
        <v>0</v>
      </c>
      <c r="R42" s="99" t="s">
        <v>132</v>
      </c>
      <c r="S42" s="30">
        <f>L69</f>
        <v>190.34387904946772</v>
      </c>
      <c r="T42" t="str">
        <f>M69</f>
        <v>kg/cm2</v>
      </c>
    </row>
    <row r="43" spans="1:17" ht="21.75">
      <c r="A43" s="157"/>
      <c r="B43" s="157" t="s">
        <v>155</v>
      </c>
      <c r="C43" s="157">
        <f>SIN(C42)</f>
        <v>0.9999999999932537</v>
      </c>
      <c r="D43" s="21" t="s">
        <v>84</v>
      </c>
      <c r="E43" s="29">
        <f>Foglio2!P10/2*(1/Foglio3!E40*G40+(1-E40^2)^(1/2))</f>
        <v>44.055270209638834</v>
      </c>
      <c r="I43" s="1"/>
      <c r="J43" s="153" t="s">
        <v>119</v>
      </c>
      <c r="K43" s="153"/>
      <c r="L43" s="1" t="str">
        <f>G73</f>
        <v>p adm. =</v>
      </c>
      <c r="M43" s="167">
        <f>H73</f>
        <v>6.420951644634842</v>
      </c>
      <c r="N43" s="1" t="s">
        <v>0</v>
      </c>
      <c r="O43" s="166" t="s">
        <v>131</v>
      </c>
      <c r="P43" s="29">
        <f>P42</f>
        <v>2400</v>
      </c>
      <c r="Q43" t="s">
        <v>0</v>
      </c>
    </row>
    <row r="44" spans="1:14" ht="22.5" thickBot="1">
      <c r="A44" s="157"/>
      <c r="B44" s="218" t="s">
        <v>156</v>
      </c>
      <c r="C44" s="157">
        <f>E40*C43</f>
        <v>0.4938181170227793</v>
      </c>
      <c r="D44" s="21" t="s">
        <v>85</v>
      </c>
      <c r="E44" s="30">
        <f>Foglio2!P10/8/Foglio3!E40^3*(Foglio3!G40-Foglio3!E40*(1-2*Foglio3!E40^2)*(1-Foglio3!E40^2)^(1/2))</f>
        <v>14.15743786995919</v>
      </c>
      <c r="I44" s="1"/>
      <c r="J44" s="1"/>
      <c r="K44" s="1"/>
      <c r="L44" s="1"/>
      <c r="M44" s="145"/>
      <c r="N44" s="1"/>
    </row>
    <row r="45" spans="1:14" ht="22.5" thickBot="1">
      <c r="A45" s="157"/>
      <c r="B45" s="218" t="s">
        <v>157</v>
      </c>
      <c r="C45" s="157">
        <f>ASIN(C44)</f>
        <v>0.5164751408430446</v>
      </c>
      <c r="D45" s="33" t="s">
        <v>96</v>
      </c>
      <c r="E45" s="30">
        <f>E40/2*(1-E40^2)^(1/2)+1/2*G40</f>
        <v>0.4729410995652252</v>
      </c>
      <c r="I45" s="1"/>
      <c r="J45" s="1"/>
      <c r="K45" s="1"/>
      <c r="L45" s="143" t="s">
        <v>139</v>
      </c>
      <c r="M45" s="170">
        <f>MINA(M41,M42,M43)</f>
        <v>6.412391012214032</v>
      </c>
      <c r="N45" s="1" t="s">
        <v>0</v>
      </c>
    </row>
    <row r="46" spans="1:14" ht="21.75">
      <c r="A46" s="157"/>
      <c r="B46" s="218" t="s">
        <v>158</v>
      </c>
      <c r="C46" s="219">
        <f>ASIN(0)</f>
        <v>0</v>
      </c>
      <c r="D46" s="33" t="s">
        <v>97</v>
      </c>
      <c r="E46" s="30">
        <f>C45</f>
        <v>0.5164751408430446</v>
      </c>
      <c r="I46" s="1"/>
      <c r="J46" s="1"/>
      <c r="K46" s="1"/>
      <c r="L46" s="182" t="s">
        <v>163</v>
      </c>
      <c r="M46" s="1"/>
      <c r="N46" s="1"/>
    </row>
    <row r="47" spans="4:14" ht="12.75">
      <c r="D47" s="21" t="s">
        <v>99</v>
      </c>
      <c r="E47" s="30">
        <f>Foglio2!P10*Foglio3!E45</f>
        <v>21.75529058000036</v>
      </c>
      <c r="I47" s="1"/>
      <c r="J47" s="1"/>
      <c r="K47" s="1"/>
      <c r="L47" s="1"/>
      <c r="M47" s="145"/>
      <c r="N47" s="1"/>
    </row>
    <row r="48" spans="4:14" ht="12.75">
      <c r="D48" s="21" t="s">
        <v>100</v>
      </c>
      <c r="E48" s="30">
        <f>Foglio2!P11/2*(1/Foglio3!E41*Foglio3!G41+(1+Foglio3!E41^2)^(1/2))</f>
        <v>42.056383601953435</v>
      </c>
      <c r="I48" s="1"/>
      <c r="J48" s="1"/>
      <c r="K48" s="143"/>
      <c r="L48" s="1"/>
      <c r="M48" s="1"/>
      <c r="N48" s="1"/>
    </row>
    <row r="49" spans="4:14" ht="12.75">
      <c r="D49" s="21" t="s">
        <v>101</v>
      </c>
      <c r="E49" s="30">
        <f>Foglio2!P10/3*((1+1/(Foglio3!E40^2))*Foglio3!E45+(1-1/(Foglio3!E40^2))*Foglio3!E46)</f>
        <v>12.433691499039316</v>
      </c>
      <c r="I49" s="1"/>
      <c r="J49" s="1"/>
      <c r="K49" s="1"/>
      <c r="L49" s="1"/>
      <c r="M49" s="1"/>
      <c r="N49" s="1"/>
    </row>
    <row r="50" spans="4:14" ht="12.75">
      <c r="D50" s="21" t="s">
        <v>95</v>
      </c>
      <c r="E50" s="30">
        <f>Foglio2!P11/8/(Foglio3!E41^3)*(-Foglio3!G41+Foglio3!E41*(1+2*Foglio3!E41^2)*(1+Foglio3!E41^2)^(1/2))</f>
        <v>14.557066975229892</v>
      </c>
      <c r="I50" s="1"/>
      <c r="J50" s="1"/>
      <c r="K50" s="1"/>
      <c r="L50" s="1"/>
      <c r="M50" s="1"/>
      <c r="N50" s="1"/>
    </row>
    <row r="51" spans="4:14" ht="12.75">
      <c r="D51" s="21"/>
      <c r="E51" s="7"/>
      <c r="I51" s="1"/>
      <c r="J51" s="1"/>
      <c r="K51" s="1"/>
      <c r="L51" s="1"/>
      <c r="M51" s="145"/>
      <c r="N51" s="1"/>
    </row>
    <row r="52" spans="4:14" ht="12.75">
      <c r="D52" s="143"/>
      <c r="E52" s="9"/>
      <c r="F52" s="1"/>
      <c r="G52" s="1"/>
      <c r="I52" s="1"/>
      <c r="J52" s="1"/>
      <c r="K52" s="1"/>
      <c r="L52" s="1"/>
      <c r="M52" s="1"/>
      <c r="N52" s="1"/>
    </row>
    <row r="53" spans="4:14" ht="12.75">
      <c r="D53" s="143"/>
      <c r="E53" s="9"/>
      <c r="F53" s="1"/>
      <c r="G53" s="1"/>
      <c r="I53" s="1"/>
      <c r="J53" s="1"/>
      <c r="K53" s="1"/>
      <c r="L53" s="1"/>
      <c r="M53" s="1"/>
      <c r="N53" s="1"/>
    </row>
    <row r="54" spans="4:14" ht="18">
      <c r="D54" s="33" t="s">
        <v>90</v>
      </c>
      <c r="E54" s="29">
        <f>1-E39</f>
        <v>0.8695652173913043</v>
      </c>
      <c r="F54" s="1"/>
      <c r="G54" s="1"/>
      <c r="I54" s="1"/>
      <c r="J54" s="1"/>
      <c r="K54" s="1"/>
      <c r="L54" s="1"/>
      <c r="M54" s="1"/>
      <c r="N54" s="1"/>
    </row>
    <row r="55" spans="4:14" ht="18">
      <c r="D55" s="33" t="s">
        <v>91</v>
      </c>
      <c r="E55" s="29">
        <f>2-E39</f>
        <v>1.8695652173913042</v>
      </c>
      <c r="F55" s="1"/>
      <c r="G55" s="1"/>
      <c r="I55" s="1"/>
      <c r="J55" s="1"/>
      <c r="K55" s="1"/>
      <c r="L55" s="1"/>
      <c r="M55" s="1"/>
      <c r="N55" s="1"/>
    </row>
    <row r="56" spans="6:14" ht="12.75">
      <c r="F56" s="1"/>
      <c r="G56" s="1"/>
      <c r="I56" s="1"/>
      <c r="J56" s="1"/>
      <c r="K56" s="1"/>
      <c r="L56" s="1"/>
      <c r="M56" s="1"/>
      <c r="N56" s="1"/>
    </row>
    <row r="57" spans="4:14" ht="12.75">
      <c r="D57" s="33" t="s">
        <v>92</v>
      </c>
      <c r="E57" s="29">
        <f>Foglio2!P12/Foglio2!P10</f>
        <v>0.034782608695652174</v>
      </c>
      <c r="F57" s="1"/>
      <c r="G57" s="1"/>
      <c r="I57" s="1"/>
      <c r="J57" s="1"/>
      <c r="K57" s="1"/>
      <c r="L57" s="1"/>
      <c r="M57" s="1"/>
      <c r="N57" s="1"/>
    </row>
    <row r="58" spans="4:14" ht="12.75">
      <c r="D58" s="143"/>
      <c r="E58" s="9"/>
      <c r="F58" s="1"/>
      <c r="G58" s="1"/>
      <c r="I58" s="1"/>
      <c r="J58" s="1"/>
      <c r="K58" s="1"/>
      <c r="L58" s="1"/>
      <c r="M58" s="1"/>
      <c r="N58" s="1"/>
    </row>
    <row r="59" spans="4:14" ht="12.75">
      <c r="D59" s="143"/>
      <c r="E59" s="9"/>
      <c r="F59" s="1"/>
      <c r="G59" s="1"/>
      <c r="I59" s="1"/>
      <c r="J59" s="1"/>
      <c r="K59" s="1"/>
      <c r="L59" s="1"/>
      <c r="M59" s="1"/>
      <c r="N59" s="1"/>
    </row>
    <row r="60" spans="4:14" ht="12.75">
      <c r="D60" s="33"/>
      <c r="E60" s="9"/>
      <c r="F60" s="1"/>
      <c r="G60" s="1"/>
      <c r="I60" s="1"/>
      <c r="J60" s="1"/>
      <c r="K60" s="1"/>
      <c r="L60" s="1"/>
      <c r="M60" s="1"/>
      <c r="N60" s="1"/>
    </row>
    <row r="61" spans="4:14" ht="18">
      <c r="D61" s="141" t="s">
        <v>112</v>
      </c>
      <c r="E61" s="9"/>
      <c r="F61" s="1"/>
      <c r="G61" s="1"/>
      <c r="I61" s="1"/>
      <c r="J61" s="1"/>
      <c r="K61" s="1"/>
      <c r="L61" s="1"/>
      <c r="M61" s="1"/>
      <c r="N61" s="1"/>
    </row>
    <row r="62" spans="4:14" ht="12.75">
      <c r="D62" s="19" t="s">
        <v>113</v>
      </c>
      <c r="E62" s="1"/>
      <c r="F62" s="1"/>
      <c r="G62" s="1"/>
      <c r="I62" s="1"/>
      <c r="J62" s="1"/>
      <c r="K62" s="1"/>
      <c r="L62" s="1"/>
      <c r="M62" s="1"/>
      <c r="N62" s="1"/>
    </row>
    <row r="63" spans="4:14" ht="18">
      <c r="D63" s="33"/>
      <c r="E63" s="9"/>
      <c r="F63" s="1"/>
      <c r="G63" s="1"/>
      <c r="I63" s="1"/>
      <c r="J63" s="1"/>
      <c r="K63" s="99" t="s">
        <v>123</v>
      </c>
      <c r="L63" s="17">
        <f>Foglio2!S21</f>
        <v>2400</v>
      </c>
      <c r="M63" s="4" t="str">
        <f>Foglio2!T21</f>
        <v>kg/cm2</v>
      </c>
      <c r="N63" s="1"/>
    </row>
    <row r="64" spans="4:14" ht="13.5" thickBot="1">
      <c r="D64" s="153" t="s">
        <v>117</v>
      </c>
      <c r="E64" s="153"/>
      <c r="J64" s="1"/>
      <c r="K64" s="1"/>
      <c r="L64" s="1"/>
      <c r="M64" s="1"/>
      <c r="N64" s="1"/>
    </row>
    <row r="65" spans="4:14" ht="13.5" thickBot="1">
      <c r="D65" s="150" t="s">
        <v>114</v>
      </c>
      <c r="E65">
        <f>(1/Foglio2!L56*(-Foglio2!H47/Foglio2!S12+Foglio2!L58*Foglio2!H46))/Foglio2!P14</f>
        <v>373.2753670867214</v>
      </c>
      <c r="G65" t="s">
        <v>116</v>
      </c>
      <c r="H65" s="152">
        <f>L63/Foglio3!E65</f>
        <v>6.429569726851058</v>
      </c>
      <c r="I65" s="1" t="s">
        <v>0</v>
      </c>
      <c r="K65" s="1"/>
      <c r="L65" s="1"/>
      <c r="M65" s="1"/>
      <c r="N65" s="1"/>
    </row>
    <row r="66" spans="9:14" ht="12.75">
      <c r="I66" s="1"/>
      <c r="J66" s="1"/>
      <c r="K66" s="1"/>
      <c r="L66" s="1"/>
      <c r="M66" s="1"/>
      <c r="N66" s="1"/>
    </row>
    <row r="67" spans="4:14" ht="12.75">
      <c r="D67" s="153" t="s">
        <v>118</v>
      </c>
      <c r="E67" s="153"/>
      <c r="I67" s="1"/>
      <c r="J67" s="1"/>
      <c r="K67" s="1"/>
      <c r="L67" s="1"/>
      <c r="M67" s="1"/>
      <c r="N67" s="1"/>
    </row>
    <row r="68" spans="9:15" ht="13.5" thickBot="1">
      <c r="I68" s="1"/>
      <c r="J68" s="1"/>
      <c r="K68" s="1"/>
      <c r="L68" s="1"/>
      <c r="M68" s="1"/>
      <c r="N68" s="156" t="s">
        <v>121</v>
      </c>
      <c r="O68" s="157">
        <f>Foglio2!S21/(Foglio3!E65+1)</f>
        <v>6.412391012214032</v>
      </c>
    </row>
    <row r="69" spans="7:15" ht="18.75" thickBot="1">
      <c r="G69" t="s">
        <v>116</v>
      </c>
      <c r="H69" s="152">
        <f>L63/(Foglio3!E65+1)</f>
        <v>6.412391012214032</v>
      </c>
      <c r="I69" s="1" t="s">
        <v>0</v>
      </c>
      <c r="J69" s="1"/>
      <c r="K69" s="155" t="s">
        <v>120</v>
      </c>
      <c r="L69" s="30">
        <f>(O69+O68)/2</f>
        <v>190.34387904946772</v>
      </c>
      <c r="M69" s="1" t="s">
        <v>0</v>
      </c>
      <c r="N69" s="158" t="s">
        <v>122</v>
      </c>
      <c r="O69" s="157">
        <f>Foglio2!S21/Foglio3!O68</f>
        <v>374.2753670867214</v>
      </c>
    </row>
    <row r="70" spans="9:14" ht="12.75">
      <c r="I70" s="1"/>
      <c r="J70" s="1"/>
      <c r="K70" s="1"/>
      <c r="L70" s="1"/>
      <c r="M70" s="1"/>
      <c r="N70" s="1"/>
    </row>
    <row r="71" spans="4:14" ht="12.75">
      <c r="D71" s="153" t="s">
        <v>119</v>
      </c>
      <c r="E71" s="153"/>
      <c r="I71" s="1"/>
      <c r="J71" s="1"/>
      <c r="K71" s="1"/>
      <c r="L71" s="1"/>
      <c r="M71" s="1"/>
      <c r="N71" s="1"/>
    </row>
    <row r="72" spans="9:14" ht="13.5" thickBot="1">
      <c r="I72" s="1"/>
      <c r="J72" s="1"/>
      <c r="K72" s="1"/>
      <c r="L72" s="1"/>
      <c r="M72" s="1"/>
      <c r="N72" s="1"/>
    </row>
    <row r="73" spans="7:14" ht="13.5" thickBot="1">
      <c r="G73" t="s">
        <v>116</v>
      </c>
      <c r="H73" s="154">
        <f>L63/((Foglio3!E65^2+Foglio3!E65+1)^(1/2))</f>
        <v>6.420951644634842</v>
      </c>
      <c r="I73" s="1" t="s">
        <v>0</v>
      </c>
      <c r="J73" s="1"/>
      <c r="K73" s="1"/>
      <c r="L73" s="1"/>
      <c r="M73" s="1"/>
      <c r="N73" s="1"/>
    </row>
    <row r="74" spans="9:14" ht="12.75">
      <c r="I74" s="1"/>
      <c r="J74" s="1"/>
      <c r="K74" s="1"/>
      <c r="L74" s="1"/>
      <c r="M74" s="1"/>
      <c r="N74" s="1"/>
    </row>
    <row r="75" spans="9:14" ht="12.75">
      <c r="I75" s="1"/>
      <c r="J75" s="1"/>
      <c r="K75" s="1"/>
      <c r="L75" s="1"/>
      <c r="M75" s="1"/>
      <c r="N75" s="1"/>
    </row>
    <row r="76" spans="4:14" ht="12.75">
      <c r="D76" t="s">
        <v>128</v>
      </c>
      <c r="I76" s="1"/>
      <c r="J76" s="1"/>
      <c r="K76" s="1"/>
      <c r="L76" s="1"/>
      <c r="M76" s="1"/>
      <c r="N76" s="1"/>
    </row>
    <row r="77" spans="4:14" ht="12.75">
      <c r="D77" s="19" t="s">
        <v>127</v>
      </c>
      <c r="I77" s="1"/>
      <c r="J77" s="1"/>
      <c r="K77" s="1"/>
      <c r="L77" s="1"/>
      <c r="M77" s="1"/>
      <c r="N77" s="1"/>
    </row>
    <row r="78" spans="9:14" ht="12.75">
      <c r="I78" s="1"/>
      <c r="J78" s="1"/>
      <c r="K78" s="1"/>
      <c r="L78" s="1"/>
      <c r="M78" s="1"/>
      <c r="N78" s="1"/>
    </row>
    <row r="79" spans="9:14" ht="12.75">
      <c r="I79" s="1"/>
      <c r="J79" s="1"/>
      <c r="K79" s="1"/>
      <c r="L79" s="1"/>
      <c r="M79" s="1"/>
      <c r="N79" s="1"/>
    </row>
    <row r="80" spans="9:14" ht="12.75">
      <c r="I80" s="1"/>
      <c r="J80" s="1"/>
      <c r="K80" s="1"/>
      <c r="L80" s="1"/>
      <c r="M80" s="1"/>
      <c r="N80" s="1"/>
    </row>
    <row r="81" spans="9:14" ht="12.75">
      <c r="I81" s="1"/>
      <c r="J81" s="1"/>
      <c r="K81" s="1"/>
      <c r="L81" s="1"/>
      <c r="M81" s="1"/>
      <c r="N81" s="1"/>
    </row>
    <row r="82" spans="9:14" ht="12.75">
      <c r="I82" s="1"/>
      <c r="J82" s="1"/>
      <c r="K82" s="1"/>
      <c r="L82" s="1"/>
      <c r="M82" s="1"/>
      <c r="N82" s="1"/>
    </row>
    <row r="83" spans="9:14" ht="12.75">
      <c r="I83" s="1"/>
      <c r="J83" s="1"/>
      <c r="K83" s="1"/>
      <c r="L83" s="1"/>
      <c r="M83" s="1"/>
      <c r="N83" s="1"/>
    </row>
    <row r="84" spans="9:14" ht="12.75">
      <c r="I84" s="1"/>
      <c r="J84" s="1"/>
      <c r="K84" s="1"/>
      <c r="L84" s="1"/>
      <c r="M84" s="1"/>
      <c r="N84" s="1"/>
    </row>
    <row r="85" spans="9:14" ht="12.75">
      <c r="I85" s="1"/>
      <c r="J85" s="1"/>
      <c r="K85" s="1"/>
      <c r="L85" s="1"/>
      <c r="M85" s="1"/>
      <c r="N85" s="1"/>
    </row>
    <row r="86" spans="9:14" ht="12.75">
      <c r="I86" s="1"/>
      <c r="J86" s="1"/>
      <c r="K86" s="1"/>
      <c r="L86" s="1"/>
      <c r="M86" s="1"/>
      <c r="N86" s="1"/>
    </row>
    <row r="87" spans="9:14" ht="12.75">
      <c r="I87" s="1"/>
      <c r="J87" s="1"/>
      <c r="K87" s="1"/>
      <c r="L87" s="1"/>
      <c r="M87" s="1"/>
      <c r="N87" s="1"/>
    </row>
    <row r="88" spans="9:14" ht="12.75">
      <c r="I88" s="1"/>
      <c r="J88" s="1"/>
      <c r="K88" s="1"/>
      <c r="L88" s="1"/>
      <c r="M88" s="1"/>
      <c r="N88" s="1"/>
    </row>
    <row r="89" spans="9:14" ht="12.75">
      <c r="I89" s="1"/>
      <c r="J89" s="1"/>
      <c r="K89" s="1"/>
      <c r="L89" s="1"/>
      <c r="M89" s="1"/>
      <c r="N89" s="1"/>
    </row>
    <row r="90" spans="9:14" ht="12.75">
      <c r="I90" s="1"/>
      <c r="J90" s="1"/>
      <c r="K90" s="1"/>
      <c r="L90" s="1"/>
      <c r="M90" s="1"/>
      <c r="N90" s="1"/>
    </row>
    <row r="91" spans="9:14" ht="12.75">
      <c r="I91" s="1"/>
      <c r="J91" s="1"/>
      <c r="K91" s="1"/>
      <c r="L91" s="1"/>
      <c r="M91" s="1"/>
      <c r="N91" s="1"/>
    </row>
    <row r="92" spans="9:14" ht="12.75">
      <c r="I92" s="1"/>
      <c r="J92" s="1"/>
      <c r="K92" s="1"/>
      <c r="L92" s="1"/>
      <c r="M92" s="1"/>
      <c r="N92" s="1"/>
    </row>
    <row r="93" spans="9:14" ht="12.75">
      <c r="I93" s="1"/>
      <c r="J93" s="1"/>
      <c r="K93" s="1"/>
      <c r="L93" s="1"/>
      <c r="M93" s="1"/>
      <c r="N93" s="1"/>
    </row>
    <row r="94" spans="9:14" ht="12.75">
      <c r="I94" s="1"/>
      <c r="J94" s="1"/>
      <c r="K94" s="1"/>
      <c r="L94" s="1"/>
      <c r="M94" s="1"/>
      <c r="N94" s="1"/>
    </row>
    <row r="95" spans="9:14" ht="12.75">
      <c r="I95" s="1"/>
      <c r="J95" s="1"/>
      <c r="K95" s="1"/>
      <c r="L95" s="1"/>
      <c r="M95" s="1"/>
      <c r="N95" s="1"/>
    </row>
    <row r="96" spans="9:14" ht="12.75">
      <c r="I96" s="1"/>
      <c r="J96" s="1"/>
      <c r="K96" s="1"/>
      <c r="L96" s="1"/>
      <c r="M96" s="1"/>
      <c r="N96" s="1"/>
    </row>
    <row r="97" spans="9:14" ht="12.75">
      <c r="I97" s="1"/>
      <c r="J97" s="1"/>
      <c r="K97" s="1"/>
      <c r="L97" s="1"/>
      <c r="M97" s="1"/>
      <c r="N97" s="1"/>
    </row>
    <row r="98" spans="9:14" ht="12.75">
      <c r="I98" s="1"/>
      <c r="J98" s="1"/>
      <c r="K98" s="1"/>
      <c r="L98" s="1"/>
      <c r="M98" s="1"/>
      <c r="N98" s="1"/>
    </row>
    <row r="99" spans="9:14" ht="12.75">
      <c r="I99" s="1"/>
      <c r="J99" s="1"/>
      <c r="K99" s="1"/>
      <c r="L99" s="1"/>
      <c r="M99" s="1"/>
      <c r="N99" s="1"/>
    </row>
    <row r="100" spans="9:14" ht="12.75">
      <c r="I100" s="1"/>
      <c r="J100" s="1"/>
      <c r="K100" s="1"/>
      <c r="L100" s="1"/>
      <c r="M100" s="1"/>
      <c r="N100" s="1"/>
    </row>
    <row r="101" spans="9:14" ht="12.75">
      <c r="I101" s="1"/>
      <c r="J101" s="1"/>
      <c r="K101" s="1"/>
      <c r="L101" s="1"/>
      <c r="M101" s="1"/>
      <c r="N101" s="1"/>
    </row>
    <row r="102" spans="9:14" ht="12.75">
      <c r="I102" s="1"/>
      <c r="J102" s="1"/>
      <c r="K102" s="1"/>
      <c r="L102" s="1"/>
      <c r="M102" s="1"/>
      <c r="N102" s="1"/>
    </row>
    <row r="103" spans="9:14" ht="12.75">
      <c r="I103" s="1"/>
      <c r="J103" s="1"/>
      <c r="K103" s="1"/>
      <c r="L103" s="1"/>
      <c r="M103" s="1"/>
      <c r="N103" s="1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2008-09-07T15:12:29Z</dcterms:created>
  <dcterms:modified xsi:type="dcterms:W3CDTF">2009-01-06T10:25:16Z</dcterms:modified>
  <cp:category/>
  <cp:version/>
  <cp:contentType/>
  <cp:contentStatus/>
</cp:coreProperties>
</file>