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40" windowWidth="15360" windowHeight="939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<sst xmlns="http://schemas.openxmlformats.org/spreadsheetml/2006/main" count="289" uniqueCount="153">
  <si>
    <t>Superficie alare in dm^2</t>
  </si>
  <si>
    <t>Superficie stabilizzatore in dm^2</t>
  </si>
  <si>
    <t>Dati da inserire</t>
  </si>
  <si>
    <t>Dati ottenuti</t>
  </si>
  <si>
    <t>Rapporto volumetrico di coda K</t>
  </si>
  <si>
    <t>Apertura alare in mm</t>
  </si>
  <si>
    <t>Braccio di leva in mm</t>
  </si>
  <si>
    <t>Corda media in mm</t>
  </si>
  <si>
    <t xml:space="preserve">L1 = </t>
  </si>
  <si>
    <t>[mm]</t>
  </si>
  <si>
    <t xml:space="preserve">L2 = </t>
  </si>
  <si>
    <t xml:space="preserve">L3 = </t>
  </si>
  <si>
    <t xml:space="preserve">C1 = </t>
  </si>
  <si>
    <t xml:space="preserve">C2 = </t>
  </si>
  <si>
    <t xml:space="preserve">C3 = </t>
  </si>
  <si>
    <t xml:space="preserve">C4 = </t>
  </si>
  <si>
    <t xml:space="preserve">A1 = </t>
  </si>
  <si>
    <t>[mm2]</t>
  </si>
  <si>
    <t xml:space="preserve">A2 = </t>
  </si>
  <si>
    <t xml:space="preserve">A3 = </t>
  </si>
  <si>
    <t xml:space="preserve">A tot = </t>
  </si>
  <si>
    <t xml:space="preserve">alfa1 = </t>
  </si>
  <si>
    <t>[°]</t>
  </si>
  <si>
    <t xml:space="preserve">alfa2 = </t>
  </si>
  <si>
    <t xml:space="preserve">alfa3 = </t>
  </si>
  <si>
    <t>F1  =</t>
  </si>
  <si>
    <t>F3  =</t>
  </si>
  <si>
    <t>F2  =</t>
  </si>
  <si>
    <t xml:space="preserve">pari a </t>
  </si>
  <si>
    <t>[dm2]</t>
  </si>
  <si>
    <t xml:space="preserve">Xg11 = </t>
  </si>
  <si>
    <t xml:space="preserve">Xg12 = </t>
  </si>
  <si>
    <t xml:space="preserve">Xg13 = </t>
  </si>
  <si>
    <t xml:space="preserve">Xg21 = </t>
  </si>
  <si>
    <t xml:space="preserve">Xg22 = </t>
  </si>
  <si>
    <t xml:space="preserve">Xg23 = </t>
  </si>
  <si>
    <t xml:space="preserve">XG1 = </t>
  </si>
  <si>
    <t xml:space="preserve">XG2 = </t>
  </si>
  <si>
    <t xml:space="preserve">XG3 = </t>
  </si>
  <si>
    <t xml:space="preserve">XG tot = </t>
  </si>
  <si>
    <t>se non la conosci calcola sotto, risulta:</t>
  </si>
  <si>
    <t>Altezza dal piano del BE ala:</t>
  </si>
  <si>
    <t>Altezza dal piano del BU stab:</t>
  </si>
  <si>
    <t>Altezza dal piano del BE stab:</t>
  </si>
  <si>
    <t>Altezza dal piano del BU ala:</t>
  </si>
  <si>
    <t>corda alare nel punto di misura:</t>
  </si>
  <si>
    <t>corda stab. nel punto di misura</t>
  </si>
  <si>
    <t>incidenza stabilizzatore:</t>
  </si>
  <si>
    <t>DL</t>
  </si>
  <si>
    <t>incidenza ala:</t>
  </si>
  <si>
    <t xml:space="preserve"> nota che queste incidenze sono relative alla sup di riferimento e non alla fusoliera</t>
  </si>
  <si>
    <t>K ragionevole se circa 0,5</t>
  </si>
  <si>
    <t>anche 0,6-0,7 per modelli con profili portanti (elevato camber e Cm)</t>
  </si>
  <si>
    <t>anche un po' meno (0,4) per modelli veloci e con profili poco portanti</t>
  </si>
  <si>
    <t>CALCOLO DEL DIEDRO LONGITUDINALE</t>
  </si>
  <si>
    <t>CALCOLO DEL RAPPORTO VOLUMETRICO DI CODA</t>
  </si>
  <si>
    <t>Dati intermedi utili</t>
  </si>
  <si>
    <t>Dati intermedi non significativi</t>
  </si>
  <si>
    <t>%CMA  P1</t>
  </si>
  <si>
    <t>%CMA  P2</t>
  </si>
  <si>
    <t>%CMA  P3</t>
  </si>
  <si>
    <t>valore adatto a modelli con K=0,5</t>
  </si>
  <si>
    <t>valore limite per modelli tuttala, anche meglio 0,17-0,18</t>
  </si>
  <si>
    <t>valore adatto a modelli con K&lt;0,5 o a cui si chiede più stabilità</t>
  </si>
  <si>
    <t>Neutral Point Calulator</t>
  </si>
  <si>
    <t>SEP 23. 2003 by JH Lee</t>
  </si>
  <si>
    <t>Covetional</t>
  </si>
  <si>
    <t>T-tail</t>
  </si>
  <si>
    <t>Wing MAC (MACw, mm)</t>
  </si>
  <si>
    <t>H.Tail MAC (MACh, mm)</t>
  </si>
  <si>
    <t>Wing CL alpha</t>
  </si>
  <si>
    <t>H.Tail CL alpha</t>
  </si>
  <si>
    <t>Half Wing Area (Aw, dm2)</t>
  </si>
  <si>
    <t>Half H.Tail Area (Ah, dm2)</t>
  </si>
  <si>
    <t>Neutral Point (Xa, mm)</t>
  </si>
  <si>
    <t>semi-apertura alare</t>
  </si>
  <si>
    <t>corda radice</t>
  </si>
  <si>
    <t>freccia BE estrem</t>
  </si>
  <si>
    <t>corda estrem</t>
  </si>
  <si>
    <t>distanza tra i BE di ala e coda</t>
  </si>
  <si>
    <t>rispetto al riquadro precedente:</t>
  </si>
  <si>
    <t>semi-apertura alare coda</t>
  </si>
  <si>
    <t>corda radice coda</t>
  </si>
  <si>
    <t>corda estrem coda</t>
  </si>
  <si>
    <t>freccia BE estrem coda</t>
  </si>
  <si>
    <t>Freccia alla CMA alare</t>
  </si>
  <si>
    <t>Fuoco ala</t>
  </si>
  <si>
    <t>Fuoco stab</t>
  </si>
  <si>
    <t>Frecca alla CMA coda</t>
  </si>
  <si>
    <t>cma1</t>
  </si>
  <si>
    <t>cma2</t>
  </si>
  <si>
    <t>cma3</t>
  </si>
  <si>
    <t>CMA =</t>
  </si>
  <si>
    <t>Allungamento ala</t>
  </si>
  <si>
    <t>Allungamento stab</t>
  </si>
  <si>
    <t>d_epsilon/d_alpha</t>
  </si>
  <si>
    <t>a ala</t>
  </si>
  <si>
    <t>a coda</t>
  </si>
  <si>
    <r>
      <t xml:space="preserve">h </t>
    </r>
    <r>
      <rPr>
        <vertAlign val="subscript"/>
        <sz val="10"/>
        <rFont val="Arial"/>
        <family val="0"/>
      </rPr>
      <t>n</t>
    </r>
    <r>
      <rPr>
        <sz val="10"/>
        <rFont val="Arial"/>
        <family val="0"/>
      </rPr>
      <t xml:space="preserve"> = h 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+ </t>
    </r>
    <r>
      <rPr>
        <sz val="10"/>
        <rFont val="Symbol"/>
        <family val="1"/>
      </rPr>
      <t>h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0"/>
      </rPr>
      <t>s</t>
    </r>
    <r>
      <rPr>
        <sz val="10"/>
        <rFont val="Arial"/>
        <family val="0"/>
      </rPr>
      <t xml:space="preserve"> V </t>
    </r>
    <r>
      <rPr>
        <vertAlign val="subscript"/>
        <sz val="10"/>
        <rFont val="Arial"/>
        <family val="0"/>
      </rPr>
      <t>s</t>
    </r>
    <r>
      <rPr>
        <sz val="10"/>
        <rFont val="Arial"/>
        <family val="0"/>
      </rPr>
      <t xml:space="preserve"> ( a</t>
    </r>
    <r>
      <rPr>
        <vertAlign val="subscript"/>
        <sz val="10"/>
        <rFont val="Arial"/>
        <family val="0"/>
      </rPr>
      <t>s</t>
    </r>
    <r>
      <rPr>
        <sz val="10"/>
        <rFont val="Arial"/>
        <family val="0"/>
      </rPr>
      <t xml:space="preserve"> / a</t>
    </r>
    <r>
      <rPr>
        <vertAlign val="subscript"/>
        <sz val="10"/>
        <rFont val="Arial"/>
        <family val="0"/>
      </rPr>
      <t>w</t>
    </r>
    <r>
      <rPr>
        <sz val="10"/>
        <rFont val="Arial"/>
        <family val="0"/>
      </rPr>
      <t>) (1 - (d</t>
    </r>
    <r>
      <rPr>
        <sz val="10"/>
        <rFont val="Symbol"/>
        <family val="1"/>
      </rPr>
      <t>e</t>
    </r>
    <r>
      <rPr>
        <sz val="10"/>
        <rFont val="Arial"/>
        <family val="0"/>
      </rPr>
      <t xml:space="preserve"> / d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))</t>
    </r>
  </si>
  <si>
    <t>CALCOLO DELLA POSIZIONE DEL BARICENTRO ALA</t>
  </si>
  <si>
    <t>sup coda</t>
  </si>
  <si>
    <t>rapp volum coda</t>
  </si>
  <si>
    <t>distanza tra i fuochi</t>
  </si>
  <si>
    <t>eta coda 0,6-0,9</t>
  </si>
  <si>
    <t>% centraggio sulla CMA</t>
  </si>
  <si>
    <t xml:space="preserve">Superficie totale semiala = </t>
  </si>
  <si>
    <t xml:space="preserve">Superficie totale Ala = </t>
  </si>
  <si>
    <t xml:space="preserve">Superficie pannello 1 = </t>
  </si>
  <si>
    <t xml:space="preserve">Superficie pannello 2 = </t>
  </si>
  <si>
    <t xml:space="preserve">Superficie pannello 3 = </t>
  </si>
  <si>
    <t xml:space="preserve">F1  = </t>
  </si>
  <si>
    <t xml:space="preserve">F2  = </t>
  </si>
  <si>
    <t xml:space="preserve">F3  = </t>
  </si>
  <si>
    <t xml:space="preserve">angolo linea focale 1 = </t>
  </si>
  <si>
    <t xml:space="preserve">angolo linea focale 2 = </t>
  </si>
  <si>
    <t xml:space="preserve">angolo linea focale 3 = </t>
  </si>
  <si>
    <t xml:space="preserve">BE cma1 = </t>
  </si>
  <si>
    <t xml:space="preserve">BE cma2 = </t>
  </si>
  <si>
    <t xml:space="preserve">BE cma3 = </t>
  </si>
  <si>
    <t xml:space="preserve">BE CMA = </t>
  </si>
  <si>
    <t>[%]</t>
  </si>
  <si>
    <t>PUNTO NEUTRO DEL MODELLO</t>
  </si>
  <si>
    <t xml:space="preserve">cma coda = </t>
  </si>
  <si>
    <t xml:space="preserve">L TOT = </t>
  </si>
  <si>
    <t xml:space="preserve">Rapporto volumetrico di coda = </t>
  </si>
  <si>
    <t xml:space="preserve">Distanza tra BE ala e BE coda = </t>
  </si>
  <si>
    <t xml:space="preserve">Freccia alla CMA coda = </t>
  </si>
  <si>
    <t xml:space="preserve">distanza tra i fuochi = </t>
  </si>
  <si>
    <t xml:space="preserve">Fuoco ala = </t>
  </si>
  <si>
    <t xml:space="preserve">Fuoco coda = </t>
  </si>
  <si>
    <t>[%cma]</t>
  </si>
  <si>
    <t xml:space="preserve">equivalente a </t>
  </si>
  <si>
    <t>[cma]</t>
  </si>
  <si>
    <t>usata la formula:</t>
  </si>
  <si>
    <t xml:space="preserve">Margine statico = </t>
  </si>
  <si>
    <t xml:space="preserve">d_epsilon/d_alpha = </t>
  </si>
  <si>
    <t xml:space="preserve">efficienza coda 0,6-0,9 = </t>
  </si>
  <si>
    <t xml:space="preserve">a coda (as) = </t>
  </si>
  <si>
    <t xml:space="preserve">a ala (aw) = </t>
  </si>
  <si>
    <t xml:space="preserve">CL-alpha coda = </t>
  </si>
  <si>
    <t xml:space="preserve">CL-alpha ala = </t>
  </si>
  <si>
    <t>Allungamento coda =</t>
  </si>
  <si>
    <t xml:space="preserve">Allungamento ala = </t>
  </si>
  <si>
    <t>RAPPORTO VOLUMETRICO DI CODA</t>
  </si>
  <si>
    <t xml:space="preserve">Posizione del PN dal BE radice ala = </t>
  </si>
  <si>
    <t xml:space="preserve">Posizione del Punto neutro sulla cma = </t>
  </si>
  <si>
    <t xml:space="preserve">superficie coda = </t>
  </si>
  <si>
    <t xml:space="preserve">cma1 = </t>
  </si>
  <si>
    <t xml:space="preserve">cma2 = </t>
  </si>
  <si>
    <t xml:space="preserve">cma3 = </t>
  </si>
  <si>
    <t xml:space="preserve">CMA = </t>
  </si>
  <si>
    <t>DL =</t>
  </si>
  <si>
    <t xml:space="preserve">Posizione del CG dal BE ala =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</si>
</sst>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_-;\-* #,##0.0_-;_-* &quot;-&quot;_-;_-@_-"/>
    <numFmt numFmtId="173" formatCode="_-* #,##0.0_-;\-* #,##0.0_-;_-* &quot;-&quot;?_-;_-@_-"/>
    <numFmt numFmtId="174" formatCode="0.0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_-* #,##0.0000_-;\-* #,##0.0000_-;_-* &quot;-&quot;????_-;_-@_-"/>
    <numFmt numFmtId="179" formatCode="0.00000"/>
  </numFmts>
  <fonts count="11">
    <font>
      <sz val="10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돋움체"/>
      <family val="3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0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1" fontId="0" fillId="2" borderId="0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0" fillId="0" borderId="0" xfId="0" applyNumberFormat="1" applyBorder="1" applyAlignment="1">
      <alignment/>
    </xf>
    <xf numFmtId="171" fontId="0" fillId="2" borderId="0" xfId="0" applyNumberFormat="1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7" xfId="0" applyFont="1" applyBorder="1" applyAlignment="1">
      <alignment horizontal="center"/>
    </xf>
    <xf numFmtId="1" fontId="2" fillId="3" borderId="8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1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" fontId="0" fillId="0" borderId="6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2" fontId="0" fillId="3" borderId="6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4" fillId="0" borderId="12" xfId="0" applyFont="1" applyBorder="1" applyAlignment="1">
      <alignment/>
    </xf>
    <xf numFmtId="170" fontId="0" fillId="4" borderId="0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2" fontId="0" fillId="0" borderId="0" xfId="0" applyNumberFormat="1" applyFont="1" applyFill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172" fontId="7" fillId="0" borderId="17" xfId="16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2" fontId="7" fillId="0" borderId="19" xfId="16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1" fontId="7" fillId="0" borderId="21" xfId="16" applyNumberFormat="1" applyFont="1" applyFill="1" applyBorder="1" applyAlignment="1" applyProtection="1">
      <alignment vertical="center"/>
      <protection locked="0"/>
    </xf>
    <xf numFmtId="172" fontId="7" fillId="0" borderId="22" xfId="16" applyNumberFormat="1" applyFont="1" applyFill="1" applyBorder="1" applyAlignment="1" applyProtection="1">
      <alignment vertical="center"/>
      <protection locked="0"/>
    </xf>
    <xf numFmtId="172" fontId="0" fillId="0" borderId="23" xfId="16" applyNumberFormat="1" applyFont="1" applyFill="1" applyBorder="1" applyAlignment="1">
      <alignment vertical="center"/>
    </xf>
    <xf numFmtId="172" fontId="0" fillId="0" borderId="19" xfId="16" applyNumberFormat="1" applyFont="1" applyFill="1" applyBorder="1" applyAlignment="1">
      <alignment vertical="center"/>
    </xf>
    <xf numFmtId="172" fontId="0" fillId="0" borderId="21" xfId="16" applyNumberFormat="1" applyFont="1" applyFill="1" applyBorder="1" applyAlignment="1">
      <alignment vertical="center"/>
    </xf>
    <xf numFmtId="172" fontId="0" fillId="0" borderId="22" xfId="16" applyNumberFormat="1" applyFont="1" applyFill="1" applyBorder="1" applyAlignment="1">
      <alignment vertical="center"/>
    </xf>
    <xf numFmtId="43" fontId="0" fillId="0" borderId="21" xfId="0" applyNumberFormat="1" applyFont="1" applyFill="1" applyBorder="1" applyAlignment="1">
      <alignment vertical="center"/>
    </xf>
    <xf numFmtId="43" fontId="0" fillId="0" borderId="22" xfId="0" applyNumberFormat="1" applyFont="1" applyFill="1" applyBorder="1" applyAlignment="1">
      <alignment vertical="center"/>
    </xf>
    <xf numFmtId="43" fontId="0" fillId="0" borderId="24" xfId="0" applyNumberFormat="1" applyFont="1" applyFill="1" applyBorder="1" applyAlignment="1">
      <alignment vertical="center"/>
    </xf>
    <xf numFmtId="43" fontId="0" fillId="0" borderId="17" xfId="0" applyNumberFormat="1" applyFont="1" applyFill="1" applyBorder="1" applyAlignment="1">
      <alignment vertical="center"/>
    </xf>
    <xf numFmtId="172" fontId="8" fillId="0" borderId="23" xfId="16" applyNumberFormat="1" applyFont="1" applyFill="1" applyBorder="1" applyAlignment="1">
      <alignment vertical="center"/>
    </xf>
    <xf numFmtId="172" fontId="8" fillId="0" borderId="19" xfId="16" applyNumberFormat="1" applyFont="1" applyFill="1" applyBorder="1" applyAlignment="1">
      <alignment vertical="center"/>
    </xf>
    <xf numFmtId="1" fontId="7" fillId="2" borderId="24" xfId="16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" fontId="7" fillId="2" borderId="23" xfId="16" applyNumberFormat="1" applyFont="1" applyFill="1" applyBorder="1" applyAlignment="1" applyProtection="1">
      <alignment vertical="center"/>
      <protection locked="0"/>
    </xf>
    <xf numFmtId="1" fontId="7" fillId="2" borderId="21" xfId="16" applyNumberFormat="1" applyFont="1" applyFill="1" applyBorder="1" applyAlignment="1" applyProtection="1">
      <alignment vertical="center"/>
      <protection locked="0"/>
    </xf>
    <xf numFmtId="2" fontId="0" fillId="4" borderId="0" xfId="0" applyNumberFormat="1" applyFill="1" applyAlignment="1">
      <alignment/>
    </xf>
    <xf numFmtId="174" fontId="0" fillId="0" borderId="21" xfId="16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172" fontId="0" fillId="2" borderId="21" xfId="16" applyNumberFormat="1" applyFont="1" applyFill="1" applyBorder="1" applyAlignment="1">
      <alignment vertical="center"/>
    </xf>
    <xf numFmtId="2" fontId="7" fillId="2" borderId="21" xfId="16" applyNumberFormat="1" applyFont="1" applyFill="1" applyBorder="1" applyAlignment="1" applyProtection="1">
      <alignment vertical="center"/>
      <protection locked="0"/>
    </xf>
    <xf numFmtId="2" fontId="0" fillId="0" borderId="21" xfId="1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8" fillId="0" borderId="0" xfId="16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172" fontId="0" fillId="0" borderId="3" xfId="1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" fontId="0" fillId="2" borderId="21" xfId="16" applyNumberFormat="1" applyFont="1" applyFill="1" applyBorder="1" applyAlignment="1" applyProtection="1">
      <alignment vertical="center"/>
      <protection locked="0"/>
    </xf>
    <xf numFmtId="0" fontId="0" fillId="2" borderId="23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1" xfId="0" applyBorder="1" applyAlignment="1">
      <alignment/>
    </xf>
    <xf numFmtId="170" fontId="0" fillId="4" borderId="21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2" fontId="0" fillId="3" borderId="24" xfId="0" applyNumberFormat="1" applyFill="1" applyBorder="1" applyAlignment="1">
      <alignment/>
    </xf>
    <xf numFmtId="0" fontId="4" fillId="0" borderId="10" xfId="0" applyFont="1" applyBorder="1" applyAlignment="1">
      <alignment/>
    </xf>
    <xf numFmtId="1" fontId="0" fillId="2" borderId="21" xfId="0" applyNumberFormat="1" applyFill="1" applyBorder="1" applyAlignment="1">
      <alignment/>
    </xf>
    <xf numFmtId="1" fontId="0" fillId="4" borderId="21" xfId="0" applyNumberFormat="1" applyFill="1" applyBorder="1" applyAlignment="1">
      <alignment/>
    </xf>
    <xf numFmtId="1" fontId="0" fillId="3" borderId="21" xfId="0" applyNumberFormat="1" applyFill="1" applyBorder="1" applyAlignment="1">
      <alignment/>
    </xf>
    <xf numFmtId="2" fontId="0" fillId="3" borderId="21" xfId="0" applyNumberFormat="1" applyFill="1" applyBorder="1" applyAlignment="1">
      <alignment/>
    </xf>
    <xf numFmtId="170" fontId="0" fillId="4" borderId="2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2" fontId="0" fillId="4" borderId="21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2" fontId="0" fillId="4" borderId="21" xfId="16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1" fontId="0" fillId="2" borderId="26" xfId="0" applyNumberFormat="1" applyFill="1" applyBorder="1" applyAlignment="1">
      <alignment/>
    </xf>
    <xf numFmtId="0" fontId="0" fillId="0" borderId="2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73" fontId="0" fillId="0" borderId="21" xfId="0" applyNumberFormat="1" applyFill="1" applyBorder="1" applyAlignment="1">
      <alignment/>
    </xf>
    <xf numFmtId="172" fontId="0" fillId="0" borderId="0" xfId="16" applyNumberFormat="1" applyFont="1" applyFill="1" applyBorder="1" applyAlignment="1">
      <alignment vertical="center"/>
    </xf>
    <xf numFmtId="43" fontId="0" fillId="0" borderId="0" xfId="16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" fontId="0" fillId="2" borderId="26" xfId="16" applyNumberFormat="1" applyFont="1" applyFill="1" applyBorder="1" applyAlignment="1" applyProtection="1">
      <alignment vertical="center"/>
      <protection locked="0"/>
    </xf>
    <xf numFmtId="172" fontId="0" fillId="0" borderId="5" xfId="16" applyNumberFormat="1" applyFont="1" applyFill="1" applyBorder="1" applyAlignment="1">
      <alignment vertical="center"/>
    </xf>
    <xf numFmtId="171" fontId="0" fillId="0" borderId="8" xfId="0" applyNumberFormat="1" applyBorder="1" applyAlignment="1">
      <alignment/>
    </xf>
    <xf numFmtId="43" fontId="0" fillId="0" borderId="8" xfId="16" applyNumberFormat="1" applyFont="1" applyFill="1" applyBorder="1" applyAlignment="1">
      <alignment vertical="center"/>
    </xf>
    <xf numFmtId="172" fontId="0" fillId="0" borderId="7" xfId="16" applyNumberFormat="1" applyFont="1" applyFill="1" applyBorder="1" applyAlignment="1">
      <alignment vertical="center"/>
    </xf>
    <xf numFmtId="174" fontId="0" fillId="0" borderId="3" xfId="16" applyNumberFormat="1" applyFont="1" applyFill="1" applyBorder="1" applyAlignment="1">
      <alignment vertical="center"/>
    </xf>
    <xf numFmtId="2" fontId="0" fillId="2" borderId="21" xfId="16" applyNumberFormat="1" applyFont="1" applyFill="1" applyBorder="1" applyAlignment="1">
      <alignment vertical="center"/>
    </xf>
    <xf numFmtId="171" fontId="0" fillId="3" borderId="21" xfId="16" applyNumberFormat="1" applyFont="1" applyFill="1" applyBorder="1" applyAlignment="1">
      <alignment vertical="center"/>
    </xf>
    <xf numFmtId="174" fontId="0" fillId="3" borderId="21" xfId="0" applyNumberFormat="1" applyFill="1" applyBorder="1" applyAlignment="1">
      <alignment/>
    </xf>
    <xf numFmtId="172" fontId="0" fillId="0" borderId="3" xfId="16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" fontId="4" fillId="3" borderId="21" xfId="16" applyNumberFormat="1" applyFont="1" applyFill="1" applyBorder="1" applyAlignment="1">
      <alignment vertical="center"/>
    </xf>
    <xf numFmtId="43" fontId="4" fillId="3" borderId="24" xfId="0" applyNumberFormat="1" applyFont="1" applyFill="1" applyBorder="1" applyAlignment="1">
      <alignment/>
    </xf>
    <xf numFmtId="43" fontId="4" fillId="3" borderId="6" xfId="16" applyNumberFormat="1" applyFont="1" applyFill="1" applyBorder="1" applyAlignment="1">
      <alignment vertical="center"/>
    </xf>
    <xf numFmtId="179" fontId="0" fillId="4" borderId="21" xfId="16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29</xdr:row>
      <xdr:rowOff>47625</xdr:rowOff>
    </xdr:from>
    <xdr:to>
      <xdr:col>11</xdr:col>
      <xdr:colOff>247650</xdr:colOff>
      <xdr:row>43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829175"/>
          <a:ext cx="42005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28</xdr:row>
      <xdr:rowOff>47625</xdr:rowOff>
    </xdr:from>
    <xdr:to>
      <xdr:col>10</xdr:col>
      <xdr:colOff>590550</xdr:colOff>
      <xdr:row>42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4667250"/>
          <a:ext cx="42005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workbookViewId="0" topLeftCell="A67">
      <selection activeCell="C90" sqref="C90"/>
    </sheetView>
  </sheetViews>
  <sheetFormatPr defaultColWidth="9.140625" defaultRowHeight="12.75"/>
  <cols>
    <col min="1" max="1" width="30.7109375" style="0" customWidth="1"/>
    <col min="2" max="2" width="10.28125" style="0" bestFit="1" customWidth="1"/>
    <col min="3" max="3" width="15.57421875" style="0" customWidth="1"/>
    <col min="5" max="5" width="5.140625" style="0" customWidth="1"/>
  </cols>
  <sheetData>
    <row r="1" spans="1:2" ht="12.75">
      <c r="A1" s="50" t="s">
        <v>2</v>
      </c>
      <c r="B1" s="35"/>
    </row>
    <row r="2" spans="1:2" ht="12.75">
      <c r="A2" s="51" t="s">
        <v>3</v>
      </c>
      <c r="B2" s="52"/>
    </row>
    <row r="3" spans="1:2" ht="12.75">
      <c r="A3" s="53" t="s">
        <v>56</v>
      </c>
      <c r="B3" s="54"/>
    </row>
    <row r="4" spans="1:2" ht="13.5" customHeight="1" thickBot="1">
      <c r="A4" s="15" t="s">
        <v>57</v>
      </c>
      <c r="B4" s="17"/>
    </row>
    <row r="5" ht="13.5" customHeight="1" thickBot="1"/>
    <row r="6" spans="1:3" ht="13.5" thickBot="1">
      <c r="A6" s="48" t="s">
        <v>55</v>
      </c>
      <c r="B6" s="46"/>
      <c r="C6" s="47"/>
    </row>
    <row r="7" spans="1:10" ht="12.75">
      <c r="A7" s="21" t="s">
        <v>0</v>
      </c>
      <c r="B7" s="37">
        <v>31.5</v>
      </c>
      <c r="C7" s="4" t="s">
        <v>29</v>
      </c>
      <c r="D7" s="3" t="s">
        <v>40</v>
      </c>
      <c r="E7" s="3"/>
      <c r="G7" s="55"/>
      <c r="H7" s="55"/>
      <c r="I7" s="55">
        <f>B40*2</f>
        <v>31.5</v>
      </c>
      <c r="J7" s="55" t="str">
        <f>C40</f>
        <v>[dm2]</v>
      </c>
    </row>
    <row r="8" spans="1:3" ht="12.75">
      <c r="A8" s="8" t="s">
        <v>5</v>
      </c>
      <c r="B8" s="36">
        <v>2000</v>
      </c>
      <c r="C8" s="7" t="s">
        <v>9</v>
      </c>
    </row>
    <row r="9" spans="1:5" ht="12.75">
      <c r="A9" s="8" t="s">
        <v>1</v>
      </c>
      <c r="B9" s="36">
        <v>5</v>
      </c>
      <c r="C9" s="7" t="s">
        <v>29</v>
      </c>
      <c r="E9" t="s">
        <v>51</v>
      </c>
    </row>
    <row r="10" spans="1:5" ht="12.75">
      <c r="A10" s="8" t="s">
        <v>6</v>
      </c>
      <c r="B10" s="36">
        <v>600</v>
      </c>
      <c r="C10" s="7" t="s">
        <v>9</v>
      </c>
      <c r="D10" s="9"/>
      <c r="E10" t="s">
        <v>53</v>
      </c>
    </row>
    <row r="11" spans="1:5" ht="12.75">
      <c r="A11" s="8"/>
      <c r="B11" s="9"/>
      <c r="C11" s="7"/>
      <c r="D11" s="9"/>
      <c r="E11" t="s">
        <v>52</v>
      </c>
    </row>
    <row r="12" spans="1:4" ht="12.75">
      <c r="A12" s="8" t="s">
        <v>7</v>
      </c>
      <c r="B12" s="49">
        <f>B7/B8*10000</f>
        <v>157.5</v>
      </c>
      <c r="C12" s="7" t="s">
        <v>9</v>
      </c>
      <c r="D12" s="9"/>
    </row>
    <row r="13" spans="1:4" ht="13.5" thickBot="1">
      <c r="A13" s="15" t="s">
        <v>4</v>
      </c>
      <c r="B13" s="42">
        <f>B9*B10/B7/B12</f>
        <v>0.6046863189720333</v>
      </c>
      <c r="C13" s="14"/>
      <c r="D13" s="9"/>
    </row>
    <row r="14" spans="1:4" ht="13.5" thickBot="1">
      <c r="A14" s="9"/>
      <c r="B14" s="27"/>
      <c r="C14" s="25"/>
      <c r="D14" s="9"/>
    </row>
    <row r="15" spans="1:4" ht="13.5" thickBot="1">
      <c r="A15" s="43" t="s">
        <v>54</v>
      </c>
      <c r="B15" s="44"/>
      <c r="C15" s="45"/>
      <c r="D15" s="9"/>
    </row>
    <row r="16" spans="1:3" ht="12.75">
      <c r="A16" s="38" t="s">
        <v>41</v>
      </c>
      <c r="B16" s="37">
        <v>120</v>
      </c>
      <c r="C16" s="4" t="s">
        <v>9</v>
      </c>
    </row>
    <row r="17" spans="1:3" ht="12.75">
      <c r="A17" s="39" t="s">
        <v>44</v>
      </c>
      <c r="B17" s="36">
        <v>125</v>
      </c>
      <c r="C17" s="7" t="s">
        <v>9</v>
      </c>
    </row>
    <row r="18" spans="1:3" ht="12.75">
      <c r="A18" s="39" t="s">
        <v>45</v>
      </c>
      <c r="B18" s="36">
        <v>200</v>
      </c>
      <c r="C18" s="7" t="s">
        <v>9</v>
      </c>
    </row>
    <row r="19" spans="1:3" ht="12.75">
      <c r="A19" s="39" t="s">
        <v>43</v>
      </c>
      <c r="B19" s="36">
        <v>150</v>
      </c>
      <c r="C19" s="7" t="s">
        <v>9</v>
      </c>
    </row>
    <row r="20" spans="1:3" ht="12.75">
      <c r="A20" s="39" t="s">
        <v>42</v>
      </c>
      <c r="B20" s="36">
        <v>153</v>
      </c>
      <c r="C20" s="7" t="s">
        <v>9</v>
      </c>
    </row>
    <row r="21" spans="1:3" ht="12.75">
      <c r="A21" s="39" t="s">
        <v>46</v>
      </c>
      <c r="B21" s="36">
        <v>80</v>
      </c>
      <c r="C21" s="7" t="s">
        <v>9</v>
      </c>
    </row>
    <row r="22" spans="1:4" ht="12.75">
      <c r="A22" s="39" t="s">
        <v>49</v>
      </c>
      <c r="B22" s="27">
        <f>DEGREES(ATAN((B16-B17)/B18))</f>
        <v>-1.4320961841646465</v>
      </c>
      <c r="C22" s="7" t="s">
        <v>22</v>
      </c>
      <c r="D22" t="s">
        <v>50</v>
      </c>
    </row>
    <row r="23" spans="1:4" ht="12.75">
      <c r="A23" s="39" t="s">
        <v>47</v>
      </c>
      <c r="B23" s="27">
        <f>DEGREES(ATAN((B19-B20)/B21))</f>
        <v>-2.147585428298503</v>
      </c>
      <c r="C23" s="7" t="s">
        <v>22</v>
      </c>
      <c r="D23" t="s">
        <v>50</v>
      </c>
    </row>
    <row r="24" spans="1:3" ht="13.5" thickBot="1">
      <c r="A24" s="40" t="s">
        <v>48</v>
      </c>
      <c r="B24" s="41">
        <f>B22-B23</f>
        <v>0.7154892441338567</v>
      </c>
      <c r="C24" s="14" t="s">
        <v>22</v>
      </c>
    </row>
    <row r="25" spans="1:2" ht="12.75">
      <c r="A25" s="9"/>
      <c r="B25" s="27"/>
    </row>
    <row r="26" ht="12.75">
      <c r="B26" s="26"/>
    </row>
    <row r="27" ht="13.5" thickBot="1">
      <c r="L27" s="9"/>
    </row>
    <row r="28" spans="1:12" ht="13.5" thickBot="1">
      <c r="A28" s="48" t="s">
        <v>99</v>
      </c>
      <c r="B28" s="56"/>
      <c r="C28" s="57"/>
      <c r="L28" s="9"/>
    </row>
    <row r="29" spans="1:12" ht="12.75">
      <c r="A29" s="5" t="s">
        <v>8</v>
      </c>
      <c r="B29" s="6">
        <v>1000</v>
      </c>
      <c r="C29" s="7" t="s">
        <v>9</v>
      </c>
      <c r="E29" s="21"/>
      <c r="F29" s="22"/>
      <c r="G29" s="22"/>
      <c r="H29" s="22"/>
      <c r="I29" s="22"/>
      <c r="J29" s="22"/>
      <c r="K29" s="22"/>
      <c r="L29" s="23"/>
    </row>
    <row r="30" spans="1:12" ht="12.75">
      <c r="A30" s="5" t="s">
        <v>10</v>
      </c>
      <c r="B30" s="6">
        <v>0</v>
      </c>
      <c r="C30" s="7" t="s">
        <v>9</v>
      </c>
      <c r="E30" s="8"/>
      <c r="F30" s="9"/>
      <c r="G30" s="9"/>
      <c r="H30" s="9"/>
      <c r="I30" s="9"/>
      <c r="J30" s="9"/>
      <c r="K30" s="9"/>
      <c r="L30" s="10"/>
    </row>
    <row r="31" spans="1:12" ht="12.75">
      <c r="A31" s="5" t="s">
        <v>11</v>
      </c>
      <c r="B31" s="6">
        <v>0</v>
      </c>
      <c r="C31" s="7" t="s">
        <v>9</v>
      </c>
      <c r="E31" s="8"/>
      <c r="F31" s="9"/>
      <c r="G31" s="9"/>
      <c r="H31" s="9"/>
      <c r="I31" s="9"/>
      <c r="J31" s="9"/>
      <c r="K31" s="9"/>
      <c r="L31" s="10"/>
    </row>
    <row r="32" spans="1:12" ht="12.75">
      <c r="A32" s="5" t="s">
        <v>12</v>
      </c>
      <c r="B32" s="6">
        <v>215</v>
      </c>
      <c r="C32" s="7" t="s">
        <v>9</v>
      </c>
      <c r="D32" s="58"/>
      <c r="E32" s="8"/>
      <c r="F32" s="9"/>
      <c r="G32" s="9"/>
      <c r="H32" s="9"/>
      <c r="I32" s="9"/>
      <c r="J32" s="9"/>
      <c r="K32" s="9"/>
      <c r="L32" s="10"/>
    </row>
    <row r="33" spans="1:12" ht="12.75">
      <c r="A33" s="5" t="s">
        <v>13</v>
      </c>
      <c r="B33" s="6">
        <v>100</v>
      </c>
      <c r="C33" s="7" t="s">
        <v>9</v>
      </c>
      <c r="E33" s="8"/>
      <c r="F33" s="9"/>
      <c r="G33" s="9"/>
      <c r="H33" s="9"/>
      <c r="I33" s="9"/>
      <c r="J33" s="9"/>
      <c r="K33" s="9"/>
      <c r="L33" s="10"/>
    </row>
    <row r="34" spans="1:12" ht="12.75">
      <c r="A34" s="5" t="s">
        <v>14</v>
      </c>
      <c r="B34" s="6">
        <v>0</v>
      </c>
      <c r="C34" s="7" t="s">
        <v>9</v>
      </c>
      <c r="E34" s="8"/>
      <c r="F34" s="9"/>
      <c r="G34" s="9"/>
      <c r="H34" s="9"/>
      <c r="I34" s="9"/>
      <c r="J34" s="9"/>
      <c r="K34" s="9"/>
      <c r="L34" s="10"/>
    </row>
    <row r="35" spans="1:12" ht="12.75">
      <c r="A35" s="5" t="s">
        <v>15</v>
      </c>
      <c r="B35" s="6">
        <v>0</v>
      </c>
      <c r="C35" s="7" t="s">
        <v>9</v>
      </c>
      <c r="E35" s="8"/>
      <c r="F35" s="9"/>
      <c r="G35" s="9"/>
      <c r="H35" s="9"/>
      <c r="I35" s="9"/>
      <c r="J35" s="9"/>
      <c r="K35" s="9"/>
      <c r="L35" s="10"/>
    </row>
    <row r="36" spans="1:12" ht="12.75">
      <c r="A36" s="5" t="s">
        <v>16</v>
      </c>
      <c r="B36" s="29">
        <f>+(B32+B33)*B29/2</f>
        <v>157500</v>
      </c>
      <c r="C36" s="7" t="s">
        <v>17</v>
      </c>
      <c r="E36" s="8"/>
      <c r="F36" s="9"/>
      <c r="G36" s="9"/>
      <c r="H36" s="9"/>
      <c r="I36" s="9"/>
      <c r="J36" s="9"/>
      <c r="K36" s="9"/>
      <c r="L36" s="10"/>
    </row>
    <row r="37" spans="1:12" ht="12.75">
      <c r="A37" s="5" t="s">
        <v>18</v>
      </c>
      <c r="B37" s="29">
        <f>+(B33+B34)*B30/2</f>
        <v>0</v>
      </c>
      <c r="C37" s="7" t="s">
        <v>17</v>
      </c>
      <c r="E37" s="8"/>
      <c r="F37" s="9"/>
      <c r="G37" s="9"/>
      <c r="H37" s="9"/>
      <c r="I37" s="9"/>
      <c r="J37" s="9"/>
      <c r="K37" s="9"/>
      <c r="L37" s="10"/>
    </row>
    <row r="38" spans="1:12" ht="12.75">
      <c r="A38" s="5" t="s">
        <v>19</v>
      </c>
      <c r="B38" s="29">
        <f>+(B34+B35)*B31/2</f>
        <v>0</v>
      </c>
      <c r="C38" s="7" t="s">
        <v>17</v>
      </c>
      <c r="E38" s="8"/>
      <c r="F38" s="9"/>
      <c r="G38" s="9"/>
      <c r="H38" s="9"/>
      <c r="I38" s="9"/>
      <c r="J38" s="9"/>
      <c r="K38" s="9"/>
      <c r="L38" s="10"/>
    </row>
    <row r="39" spans="1:12" ht="12.75">
      <c r="A39" s="5" t="s">
        <v>20</v>
      </c>
      <c r="B39" s="20">
        <f>+B36+B37+B38</f>
        <v>157500</v>
      </c>
      <c r="C39" s="7" t="s">
        <v>17</v>
      </c>
      <c r="E39" s="8"/>
      <c r="F39" s="9"/>
      <c r="G39" s="9"/>
      <c r="H39" s="9"/>
      <c r="I39" s="9"/>
      <c r="J39" s="9"/>
      <c r="K39" s="9"/>
      <c r="L39" s="10"/>
    </row>
    <row r="40" spans="1:12" ht="12.75">
      <c r="A40" s="5" t="s">
        <v>28</v>
      </c>
      <c r="B40" s="30">
        <f>B39/10000</f>
        <v>15.75</v>
      </c>
      <c r="C40" s="7" t="s">
        <v>29</v>
      </c>
      <c r="E40" s="8"/>
      <c r="F40" s="9"/>
      <c r="G40" s="9"/>
      <c r="H40" s="9"/>
      <c r="I40" s="9"/>
      <c r="J40" s="9"/>
      <c r="K40" s="9"/>
      <c r="L40" s="10"/>
    </row>
    <row r="41" spans="1:12" ht="12.75">
      <c r="A41" s="5" t="s">
        <v>25</v>
      </c>
      <c r="B41" s="6">
        <v>0</v>
      </c>
      <c r="C41" s="7" t="s">
        <v>9</v>
      </c>
      <c r="E41" s="8"/>
      <c r="F41" s="9"/>
      <c r="G41" s="9"/>
      <c r="H41" s="9"/>
      <c r="I41" s="9"/>
      <c r="J41" s="9"/>
      <c r="K41" s="9"/>
      <c r="L41" s="10"/>
    </row>
    <row r="42" spans="1:12" ht="12.75">
      <c r="A42" s="5" t="s">
        <v>27</v>
      </c>
      <c r="B42" s="6">
        <v>0</v>
      </c>
      <c r="C42" s="7" t="s">
        <v>9</v>
      </c>
      <c r="E42" s="8"/>
      <c r="F42" s="9"/>
      <c r="G42" s="9"/>
      <c r="H42" s="9"/>
      <c r="I42" s="9"/>
      <c r="J42" s="9"/>
      <c r="K42" s="9"/>
      <c r="L42" s="10"/>
    </row>
    <row r="43" spans="1:12" ht="13.5" thickBot="1">
      <c r="A43" s="5" t="s">
        <v>26</v>
      </c>
      <c r="B43" s="6">
        <v>0</v>
      </c>
      <c r="C43" s="7" t="s">
        <v>9</v>
      </c>
      <c r="E43" s="15"/>
      <c r="F43" s="16"/>
      <c r="G43" s="16"/>
      <c r="H43" s="16"/>
      <c r="I43" s="16"/>
      <c r="J43" s="16"/>
      <c r="K43" s="16"/>
      <c r="L43" s="17"/>
    </row>
    <row r="44" spans="1:4" ht="12.75">
      <c r="A44" s="5" t="s">
        <v>21</v>
      </c>
      <c r="B44" s="28">
        <f>IF(B29&lt;&gt;0,DEGREES(ATAN((B41/B29))),0)</f>
        <v>0</v>
      </c>
      <c r="C44" s="7" t="s">
        <v>22</v>
      </c>
      <c r="D44" s="9"/>
    </row>
    <row r="45" spans="1:12" ht="15">
      <c r="A45" s="5" t="s">
        <v>23</v>
      </c>
      <c r="B45" s="28">
        <f>IF(B30&lt;&gt;0,DEGREES(ATAN((B42/B30))),0)</f>
        <v>0</v>
      </c>
      <c r="C45" s="7" t="s">
        <v>22</v>
      </c>
      <c r="D45" s="9"/>
      <c r="E45" s="24"/>
      <c r="F45" s="25"/>
      <c r="L45" s="9"/>
    </row>
    <row r="46" spans="1:4" ht="13.5" thickBot="1">
      <c r="A46" s="5" t="s">
        <v>24</v>
      </c>
      <c r="B46" s="28">
        <f>IF(B31&lt;&gt;0,DEGREES(ATAN((B43/B31))),0)</f>
        <v>0</v>
      </c>
      <c r="C46" s="7" t="s">
        <v>22</v>
      </c>
      <c r="D46" s="9"/>
    </row>
    <row r="47" spans="1:12" ht="15">
      <c r="A47" s="5" t="s">
        <v>58</v>
      </c>
      <c r="B47" s="12">
        <v>0.3</v>
      </c>
      <c r="C47" s="7"/>
      <c r="E47" s="31"/>
      <c r="F47" s="59">
        <v>0.3</v>
      </c>
      <c r="G47" s="60" t="s">
        <v>61</v>
      </c>
      <c r="H47" s="32"/>
      <c r="I47" s="32"/>
      <c r="J47" s="32"/>
      <c r="K47" s="32"/>
      <c r="L47" s="23"/>
    </row>
    <row r="48" spans="1:12" ht="12.75">
      <c r="A48" s="5" t="s">
        <v>59</v>
      </c>
      <c r="B48" s="12">
        <v>0.3</v>
      </c>
      <c r="C48" s="7"/>
      <c r="E48" s="8"/>
      <c r="F48" s="61">
        <v>0.2</v>
      </c>
      <c r="G48" s="9" t="s">
        <v>62</v>
      </c>
      <c r="H48" s="9"/>
      <c r="I48" s="9"/>
      <c r="J48" s="9"/>
      <c r="K48" s="9"/>
      <c r="L48" s="10"/>
    </row>
    <row r="49" spans="1:12" ht="13.5" thickBot="1">
      <c r="A49" s="5" t="s">
        <v>60</v>
      </c>
      <c r="B49" s="12">
        <v>0.3</v>
      </c>
      <c r="C49" s="7"/>
      <c r="E49" s="15"/>
      <c r="F49" s="62">
        <v>0.25</v>
      </c>
      <c r="G49" s="16" t="s">
        <v>63</v>
      </c>
      <c r="H49" s="16"/>
      <c r="I49" s="16"/>
      <c r="J49" s="16"/>
      <c r="K49" s="16"/>
      <c r="L49" s="17"/>
    </row>
    <row r="50" spans="1:12" ht="12.75">
      <c r="A50" s="5" t="s">
        <v>89</v>
      </c>
      <c r="B50" s="91">
        <f>IF(B36&lt;&gt;0,+B29/3/B36*(B32^2+B33^2+B32*B33),0)</f>
        <v>164.49735449735448</v>
      </c>
      <c r="C50" s="7"/>
      <c r="E50" s="9"/>
      <c r="F50" s="61"/>
      <c r="G50" s="9"/>
      <c r="H50" s="9"/>
      <c r="I50" s="9"/>
      <c r="J50" s="9"/>
      <c r="K50" s="9"/>
      <c r="L50" s="9"/>
    </row>
    <row r="51" spans="1:12" ht="12.75">
      <c r="A51" s="5" t="s">
        <v>90</v>
      </c>
      <c r="B51" s="91">
        <f>IF(B37&lt;&gt;0,+B30/3/B37*(B33^2+B34^2+B33*B34),0)</f>
        <v>0</v>
      </c>
      <c r="C51" s="7"/>
      <c r="E51" s="9"/>
      <c r="F51" s="61"/>
      <c r="G51" s="9"/>
      <c r="H51" s="9"/>
      <c r="I51" s="9"/>
      <c r="J51" s="9"/>
      <c r="K51" s="9"/>
      <c r="L51" s="9"/>
    </row>
    <row r="52" spans="1:12" ht="12.75">
      <c r="A52" s="5" t="s">
        <v>91</v>
      </c>
      <c r="B52" s="91">
        <f>IF(B38&lt;&gt;0,+B31/3/B38*(B34^2+B35^2+B34*B35),0)</f>
        <v>0</v>
      </c>
      <c r="C52" s="7"/>
      <c r="E52" s="9"/>
      <c r="F52" s="61"/>
      <c r="G52" s="9"/>
      <c r="H52" s="9"/>
      <c r="I52" s="9"/>
      <c r="J52" s="9"/>
      <c r="K52" s="9"/>
      <c r="L52" s="9"/>
    </row>
    <row r="53" spans="1:3" ht="12.75">
      <c r="A53" s="5" t="s">
        <v>30</v>
      </c>
      <c r="B53" s="11">
        <f>IF(B36&lt;&gt;0,1/B36*(1/6*B32*B29^2*TAN(B44*0.01745)+1/3*B33*B29^2*TAN(B44*0.01745)),0)</f>
        <v>0</v>
      </c>
      <c r="C53" s="7" t="s">
        <v>9</v>
      </c>
    </row>
    <row r="54" spans="1:3" ht="12.75">
      <c r="A54" s="5" t="s">
        <v>31</v>
      </c>
      <c r="B54" s="11">
        <f>IF(B37&lt;&gt;0,1/B37*(1/6*B33*B30^2*TAN(B45*0.01745)+1/3*B34*B30^2*TAN(B45*0.01745))+B29*TAN(B44*0.01745),0)</f>
        <v>0</v>
      </c>
      <c r="C54" s="7" t="s">
        <v>9</v>
      </c>
    </row>
    <row r="55" spans="1:3" ht="12.75">
      <c r="A55" s="5" t="s">
        <v>32</v>
      </c>
      <c r="B55" s="11">
        <f>IF(B38&lt;&gt;0,1/B38*(1/6*B34*B31^2*TAN(B46*0.01745)+1/3*B35*B31^2*TAN(B46*0.01745))+B29*TAN(B44*0.01745)+B30*TAN(B45*0.01745),0)</f>
        <v>0</v>
      </c>
      <c r="C55" s="7" t="s">
        <v>9</v>
      </c>
    </row>
    <row r="56" spans="1:3" ht="12.75">
      <c r="A56" s="5" t="s">
        <v>33</v>
      </c>
      <c r="B56" s="11">
        <f>IF(B36&lt;&gt;0,+B29*B47/3/B36*(B32^2+B33^2+B32*B33),0)</f>
        <v>49.34920634920635</v>
      </c>
      <c r="C56" s="7" t="s">
        <v>9</v>
      </c>
    </row>
    <row r="57" spans="1:3" ht="12.75">
      <c r="A57" s="5" t="s">
        <v>34</v>
      </c>
      <c r="B57" s="11">
        <f>IF(B37&lt;&gt;0,+B30*B48/3/B37*(B33^2+B34^2+B33*B34),0)</f>
        <v>0</v>
      </c>
      <c r="C57" s="7" t="s">
        <v>9</v>
      </c>
    </row>
    <row r="58" spans="1:3" ht="12.75">
      <c r="A58" s="5" t="s">
        <v>35</v>
      </c>
      <c r="B58" s="11">
        <f>IF(B38&lt;&gt;0,+B31*B49/3/B38*(B34^2+B35^2+B34*B35),0)</f>
        <v>0</v>
      </c>
      <c r="C58" s="7" t="s">
        <v>9</v>
      </c>
    </row>
    <row r="59" spans="1:3" ht="12.75">
      <c r="A59" s="5" t="s">
        <v>36</v>
      </c>
      <c r="B59" s="11">
        <f>IF(B36&lt;&gt;0,+B53+B56,0)</f>
        <v>49.34920634920635</v>
      </c>
      <c r="C59" s="7" t="s">
        <v>9</v>
      </c>
    </row>
    <row r="60" spans="1:3" ht="12.75">
      <c r="A60" s="5" t="s">
        <v>37</v>
      </c>
      <c r="B60" s="11">
        <f>IF(B37&lt;&gt;0,+B54+B57,0)</f>
        <v>0</v>
      </c>
      <c r="C60" s="7" t="s">
        <v>9</v>
      </c>
    </row>
    <row r="61" spans="1:3" ht="12.75">
      <c r="A61" s="5" t="s">
        <v>38</v>
      </c>
      <c r="B61" s="11">
        <f>IF(B38&lt;&gt;0,+B55+B58,0)</f>
        <v>0</v>
      </c>
      <c r="C61" s="7" t="s">
        <v>9</v>
      </c>
    </row>
    <row r="62" spans="1:3" ht="13.5" thickBot="1">
      <c r="A62" s="13"/>
      <c r="B62" s="33"/>
      <c r="C62" s="14"/>
    </row>
    <row r="63" spans="1:3" ht="13.5" thickBot="1">
      <c r="A63" s="34" t="s">
        <v>39</v>
      </c>
      <c r="B63" s="19">
        <f>+(B59*B36+B60*B37+B61*B38)/(B36+B37+B38)</f>
        <v>49.34920634920635</v>
      </c>
      <c r="C63" s="18" t="s">
        <v>9</v>
      </c>
    </row>
    <row r="64" spans="1:3" ht="12.75">
      <c r="A64" s="2" t="s">
        <v>92</v>
      </c>
      <c r="B64" s="95">
        <f>B63/0.3</f>
        <v>164.4973544973545</v>
      </c>
      <c r="C64" s="1"/>
    </row>
    <row r="65" spans="1:3" ht="12.75">
      <c r="A65" s="2"/>
      <c r="C65" s="1"/>
    </row>
    <row r="66" spans="1:12" ht="18">
      <c r="A66" s="64" t="s">
        <v>64</v>
      </c>
      <c r="B66" s="65" t="s">
        <v>65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3.5" thickBot="1">
      <c r="A67" s="65"/>
      <c r="B67" s="66"/>
      <c r="C67" s="66"/>
      <c r="D67" s="65"/>
      <c r="E67" s="65"/>
      <c r="F67" s="65"/>
      <c r="G67" s="65"/>
      <c r="H67" s="65"/>
      <c r="I67" s="65"/>
      <c r="J67" s="65"/>
      <c r="K67" s="65"/>
      <c r="L67" s="65"/>
    </row>
    <row r="68" spans="1:13" ht="12.75">
      <c r="A68" s="69"/>
      <c r="B68" s="70" t="s">
        <v>66</v>
      </c>
      <c r="C68" s="71" t="s">
        <v>67</v>
      </c>
      <c r="D68" s="65"/>
      <c r="E68" s="65"/>
      <c r="F68" s="65"/>
      <c r="G68" s="65"/>
      <c r="H68" s="65"/>
      <c r="I68" s="65"/>
      <c r="J68" s="65"/>
      <c r="K68" s="65"/>
      <c r="L68" s="65"/>
      <c r="M68" s="63"/>
    </row>
    <row r="69" spans="1:13" ht="12.75">
      <c r="A69" s="72" t="s">
        <v>79</v>
      </c>
      <c r="B69" s="90">
        <v>600</v>
      </c>
      <c r="C69" s="73">
        <v>571.467</v>
      </c>
      <c r="D69" s="65"/>
      <c r="E69" s="65"/>
      <c r="F69" s="65"/>
      <c r="G69" s="65"/>
      <c r="H69" s="65"/>
      <c r="I69" s="65"/>
      <c r="J69" s="65"/>
      <c r="K69" s="65"/>
      <c r="L69" s="65"/>
      <c r="M69" s="63"/>
    </row>
    <row r="70" spans="1:13" ht="12.75">
      <c r="A70" s="74" t="s">
        <v>75</v>
      </c>
      <c r="B70" s="75">
        <v>1000</v>
      </c>
      <c r="C70" s="76">
        <v>1000</v>
      </c>
      <c r="D70" s="65"/>
      <c r="E70" s="65" t="s">
        <v>80</v>
      </c>
      <c r="F70" s="65"/>
      <c r="G70" s="65"/>
      <c r="H70" s="68"/>
      <c r="I70" s="68">
        <f>B29+B30+B31</f>
        <v>1000</v>
      </c>
      <c r="J70" s="65"/>
      <c r="K70" s="65"/>
      <c r="L70" s="65"/>
      <c r="M70" s="63"/>
    </row>
    <row r="71" spans="1:13" ht="12.75">
      <c r="A71" s="77" t="s">
        <v>76</v>
      </c>
      <c r="B71" s="78">
        <v>230</v>
      </c>
      <c r="C71" s="79">
        <v>215</v>
      </c>
      <c r="D71" s="65"/>
      <c r="E71" s="65"/>
      <c r="F71" s="65"/>
      <c r="G71" s="65"/>
      <c r="H71" s="65"/>
      <c r="I71" s="65"/>
      <c r="J71" s="65"/>
      <c r="K71" s="65"/>
      <c r="L71" s="65"/>
      <c r="M71" s="63"/>
    </row>
    <row r="72" spans="1:13" ht="12.75">
      <c r="A72" s="77" t="s">
        <v>78</v>
      </c>
      <c r="B72" s="78">
        <v>140</v>
      </c>
      <c r="C72" s="79">
        <v>100</v>
      </c>
      <c r="D72" s="65"/>
      <c r="E72" s="65"/>
      <c r="F72" s="65"/>
      <c r="G72" s="65"/>
      <c r="H72" s="65"/>
      <c r="I72" s="65"/>
      <c r="J72" s="65"/>
      <c r="K72" s="65"/>
      <c r="L72" s="65"/>
      <c r="M72" s="63"/>
    </row>
    <row r="73" spans="1:13" ht="12.75">
      <c r="A73" s="77" t="s">
        <v>77</v>
      </c>
      <c r="B73" s="78">
        <v>0</v>
      </c>
      <c r="C73" s="79">
        <v>115</v>
      </c>
      <c r="D73" s="65"/>
      <c r="E73" s="65"/>
      <c r="F73" s="65"/>
      <c r="G73" s="65"/>
      <c r="H73" s="65"/>
      <c r="I73" s="65"/>
      <c r="J73" s="65"/>
      <c r="K73" s="65"/>
      <c r="L73" s="65"/>
      <c r="M73" s="63"/>
    </row>
    <row r="74" spans="1:13" ht="12.75">
      <c r="A74" s="74" t="s">
        <v>81</v>
      </c>
      <c r="B74" s="93">
        <v>250</v>
      </c>
      <c r="C74" s="76">
        <v>161.8</v>
      </c>
      <c r="D74" s="65"/>
      <c r="E74" s="65"/>
      <c r="F74" s="65"/>
      <c r="G74" s="65"/>
      <c r="H74" s="65"/>
      <c r="I74" s="65"/>
      <c r="J74" s="65"/>
      <c r="K74" s="65"/>
      <c r="L74" s="65"/>
      <c r="M74" s="63"/>
    </row>
    <row r="75" spans="1:13" ht="12.75">
      <c r="A75" s="77" t="s">
        <v>82</v>
      </c>
      <c r="B75" s="94">
        <v>130</v>
      </c>
      <c r="C75" s="79">
        <v>129.4</v>
      </c>
      <c r="D75" s="65"/>
      <c r="E75" s="65"/>
      <c r="F75" s="65"/>
      <c r="G75" s="65"/>
      <c r="H75" s="65"/>
      <c r="I75" s="65"/>
      <c r="J75" s="65"/>
      <c r="K75" s="65"/>
      <c r="L75" s="65"/>
      <c r="M75" s="63"/>
    </row>
    <row r="76" spans="1:13" ht="12.75">
      <c r="A76" s="77" t="s">
        <v>83</v>
      </c>
      <c r="B76" s="94">
        <v>80</v>
      </c>
      <c r="C76" s="79">
        <v>80</v>
      </c>
      <c r="D76" s="65"/>
      <c r="E76" s="65"/>
      <c r="F76" s="65"/>
      <c r="G76" s="65"/>
      <c r="H76" s="65"/>
      <c r="I76" s="65"/>
      <c r="J76" s="65"/>
      <c r="K76" s="65"/>
      <c r="L76" s="65"/>
      <c r="M76" s="63"/>
    </row>
    <row r="77" spans="1:13" ht="12.75">
      <c r="A77" s="77" t="s">
        <v>84</v>
      </c>
      <c r="B77" s="94">
        <v>40</v>
      </c>
      <c r="C77" s="79">
        <v>19.4</v>
      </c>
      <c r="D77" s="65"/>
      <c r="E77" s="65"/>
      <c r="F77" s="65"/>
      <c r="G77" s="65"/>
      <c r="H77" s="65"/>
      <c r="I77" s="65"/>
      <c r="J77" s="65"/>
      <c r="K77" s="65"/>
      <c r="L77" s="65"/>
      <c r="M77" s="63"/>
    </row>
    <row r="78" spans="1:13" ht="12.75">
      <c r="A78" s="77" t="s">
        <v>100</v>
      </c>
      <c r="B78" s="99">
        <f>(B76+B75)*B74/10000</f>
        <v>5.25</v>
      </c>
      <c r="C78" s="79"/>
      <c r="D78" s="65"/>
      <c r="E78" s="65"/>
      <c r="F78" s="65"/>
      <c r="G78" s="65"/>
      <c r="H78" s="65"/>
      <c r="I78" s="65"/>
      <c r="J78" s="65"/>
      <c r="K78" s="65"/>
      <c r="L78" s="65"/>
      <c r="M78" s="63"/>
    </row>
    <row r="79" spans="1:13" ht="12.75">
      <c r="A79" s="74" t="s">
        <v>68</v>
      </c>
      <c r="B79" s="80">
        <f>B64</f>
        <v>164.4973544973545</v>
      </c>
      <c r="C79" s="81">
        <f>((C71-C72)*(C70-(C70/((((C72/2)+C71)/((C71/2)+C72))+1))))/C70+C72</f>
        <v>164.49735449735448</v>
      </c>
      <c r="D79" s="65"/>
      <c r="E79" s="65"/>
      <c r="F79" s="65"/>
      <c r="G79" s="65"/>
      <c r="H79" s="65"/>
      <c r="I79" s="65"/>
      <c r="J79" s="65"/>
      <c r="K79" s="65"/>
      <c r="L79" s="65"/>
      <c r="M79" s="63"/>
    </row>
    <row r="80" spans="1:13" ht="12.75">
      <c r="A80" s="77" t="s">
        <v>69</v>
      </c>
      <c r="B80" s="82">
        <f>((B75-B76)*(B74-(B74/((((B76/2)+B75)/((B75/2)+B76))+1))))/B74+B76</f>
        <v>106.98412698412699</v>
      </c>
      <c r="C80" s="83">
        <f>((C75-C76)*(C74-(C74/((((C76/2)+C75)/((C75/2)+C76))+1))))/C74+C76</f>
        <v>106.64234320280165</v>
      </c>
      <c r="D80" s="65"/>
      <c r="E80" s="65"/>
      <c r="F80" s="65"/>
      <c r="G80" s="65"/>
      <c r="H80" s="65"/>
      <c r="I80" s="65"/>
      <c r="J80" s="65"/>
      <c r="K80" s="65"/>
      <c r="L80" s="65"/>
      <c r="M80" s="63"/>
    </row>
    <row r="81" spans="1:13" ht="12.75">
      <c r="A81" s="77" t="s">
        <v>85</v>
      </c>
      <c r="B81" s="82">
        <f>(B70/((((B72/2)+B71)/((B71/2)+B72))+1))*B73/B70</f>
        <v>0</v>
      </c>
      <c r="C81" s="83">
        <f>(C70/((((C72/2)+C71)/((C71/2)+C72))+1))*C73/C70</f>
        <v>50.50264550264551</v>
      </c>
      <c r="D81" s="65"/>
      <c r="E81" s="65"/>
      <c r="F81" s="65"/>
      <c r="G81" s="65"/>
      <c r="H81" s="65"/>
      <c r="I81" s="65"/>
      <c r="J81" s="65"/>
      <c r="K81" s="65"/>
      <c r="L81" s="65"/>
      <c r="M81" s="63"/>
    </row>
    <row r="82" spans="1:13" ht="12.75">
      <c r="A82" s="77" t="s">
        <v>88</v>
      </c>
      <c r="B82" s="82">
        <f>(B74/((((B76/2)+B75)/((B75/2)+B76))+1))*B77/B74</f>
        <v>18.412698412698415</v>
      </c>
      <c r="C82" s="83">
        <f>(C74/((((C76/2)+C75)/((C75/2)+C76))+1))*C77/C74</f>
        <v>8.937217446673035</v>
      </c>
      <c r="D82" s="65"/>
      <c r="E82" s="65"/>
      <c r="F82" s="65"/>
      <c r="G82" s="65"/>
      <c r="H82" s="65"/>
      <c r="I82" s="65"/>
      <c r="J82" s="65"/>
      <c r="K82" s="65"/>
      <c r="L82" s="65"/>
      <c r="M82" s="63"/>
    </row>
    <row r="83" spans="1:13" ht="12.75">
      <c r="A83" s="77" t="s">
        <v>93</v>
      </c>
      <c r="B83" s="83">
        <f>+B70*2/B79</f>
        <v>12.158250241235123</v>
      </c>
      <c r="C83" s="83">
        <f>+C70*2/C79</f>
        <v>12.158250241235125</v>
      </c>
      <c r="D83" s="65"/>
      <c r="E83" s="65"/>
      <c r="F83" s="65"/>
      <c r="G83" s="65"/>
      <c r="H83" s="65"/>
      <c r="I83" s="65"/>
      <c r="J83" s="65"/>
      <c r="K83" s="65"/>
      <c r="L83" s="65"/>
      <c r="M83" s="63"/>
    </row>
    <row r="84" spans="1:13" ht="12.75">
      <c r="A84" s="77" t="s">
        <v>94</v>
      </c>
      <c r="B84" s="82">
        <f>+B74*2/B80</f>
        <v>4.673590504451038</v>
      </c>
      <c r="C84" s="83">
        <f>+C74*2/C80</f>
        <v>3.0344419513045597</v>
      </c>
      <c r="D84" s="65"/>
      <c r="E84" s="65"/>
      <c r="F84" s="65"/>
      <c r="G84" s="65"/>
      <c r="H84" s="65"/>
      <c r="I84" s="65"/>
      <c r="J84" s="65"/>
      <c r="K84" s="65"/>
      <c r="L84" s="65"/>
      <c r="M84" s="63"/>
    </row>
    <row r="85" spans="1:13" ht="12.75">
      <c r="A85" s="77" t="s">
        <v>70</v>
      </c>
      <c r="B85" s="82">
        <f>(2*3.1415926*B83)/(2+(4+B83^2)^(1/2))</f>
        <v>5.3340599786717755</v>
      </c>
      <c r="C85" s="83">
        <f>(2*3.1415926*C83)/(2+(4+C83^2)^(1/2))</f>
        <v>5.334059978671776</v>
      </c>
      <c r="D85" s="65"/>
      <c r="E85" s="65"/>
      <c r="F85" s="65"/>
      <c r="G85" s="65"/>
      <c r="H85" s="65"/>
      <c r="I85" s="65"/>
      <c r="J85" s="65"/>
      <c r="K85" s="65"/>
      <c r="L85" s="65"/>
      <c r="M85" s="63"/>
    </row>
    <row r="86" spans="1:13" ht="12.75">
      <c r="A86" s="77" t="s">
        <v>71</v>
      </c>
      <c r="B86" s="82">
        <f>(2*3.1415926*B84)/(2+(4+B84^2)^(1/2))</f>
        <v>4.145527016660167</v>
      </c>
      <c r="C86" s="83">
        <f>(2*3.1415926*C84)/(2+(4+C84^2)^(1/2))</f>
        <v>3.3839340723061544</v>
      </c>
      <c r="D86" s="65"/>
      <c r="E86" s="65"/>
      <c r="F86" s="65"/>
      <c r="G86" s="65"/>
      <c r="H86" s="65"/>
      <c r="I86" s="65"/>
      <c r="J86" s="65"/>
      <c r="K86" s="65"/>
      <c r="L86" s="65"/>
      <c r="M86" s="63"/>
    </row>
    <row r="87" spans="1:13" ht="12.75">
      <c r="A87" s="77" t="s">
        <v>96</v>
      </c>
      <c r="B87" s="96">
        <f>(B83*0.11)/(B83+18.25*0.11)</f>
        <v>0.09441134452891878</v>
      </c>
      <c r="C87" s="96">
        <f>(C83*0.11)/(C83+18.25*0.11)</f>
        <v>0.09441134452891879</v>
      </c>
      <c r="D87" s="65"/>
      <c r="E87" s="65"/>
      <c r="F87" s="65"/>
      <c r="G87" s="65"/>
      <c r="H87" s="65"/>
      <c r="I87" s="65"/>
      <c r="J87" s="65"/>
      <c r="K87" s="65"/>
      <c r="L87" s="65"/>
      <c r="M87" s="63"/>
    </row>
    <row r="88" spans="1:13" ht="12.75">
      <c r="A88" s="77" t="s">
        <v>97</v>
      </c>
      <c r="B88" s="96">
        <f>(B84*0.095)/(B83+0.095*18.25)</f>
        <v>0.03196019941066268</v>
      </c>
      <c r="C88" s="96">
        <f>(C84*0.095)/(C83+0.095*18.25)</f>
        <v>0.02075093437720119</v>
      </c>
      <c r="D88" s="65"/>
      <c r="E88" s="65"/>
      <c r="F88" s="65"/>
      <c r="G88" s="65"/>
      <c r="H88" s="65"/>
      <c r="I88" s="65"/>
      <c r="J88" s="65"/>
      <c r="K88" s="65"/>
      <c r="L88" s="65"/>
      <c r="M88" s="63"/>
    </row>
    <row r="89" spans="1:13" ht="12.75">
      <c r="A89" s="77" t="s">
        <v>95</v>
      </c>
      <c r="B89" s="98">
        <v>0.4</v>
      </c>
      <c r="C89" s="83"/>
      <c r="D89" s="65"/>
      <c r="E89" s="65"/>
      <c r="F89" s="65"/>
      <c r="G89" s="65"/>
      <c r="H89" s="65"/>
      <c r="I89" s="65"/>
      <c r="J89" s="65"/>
      <c r="K89" s="65"/>
      <c r="L89" s="65"/>
      <c r="M89" s="63"/>
    </row>
    <row r="90" spans="1:13" ht="12.75">
      <c r="A90" s="77" t="s">
        <v>86</v>
      </c>
      <c r="B90" s="82">
        <f>+B81+(B79/4)</f>
        <v>41.12433862433863</v>
      </c>
      <c r="C90" s="83">
        <f>+C81+(C79/4)</f>
        <v>91.62698412698413</v>
      </c>
      <c r="D90" s="65"/>
      <c r="E90" s="65"/>
      <c r="F90" s="65"/>
      <c r="G90" s="65"/>
      <c r="H90" s="65"/>
      <c r="I90" s="65"/>
      <c r="J90" s="65"/>
      <c r="K90" s="65"/>
      <c r="L90" s="65"/>
      <c r="M90" s="63"/>
    </row>
    <row r="91" spans="1:13" ht="12.75">
      <c r="A91" s="77" t="s">
        <v>87</v>
      </c>
      <c r="B91" s="82">
        <f>B69+B82+(B80/4)</f>
        <v>645.1587301587301</v>
      </c>
      <c r="C91" s="83">
        <f>C69+C82+(C80/4)</f>
        <v>607.0648032473734</v>
      </c>
      <c r="D91" s="65"/>
      <c r="E91" s="65"/>
      <c r="F91" s="65"/>
      <c r="G91" s="65"/>
      <c r="H91" s="65"/>
      <c r="I91" s="65"/>
      <c r="J91" s="65"/>
      <c r="K91" s="65"/>
      <c r="L91" s="65"/>
      <c r="M91" s="63"/>
    </row>
    <row r="92" spans="1:13" ht="12.75">
      <c r="A92" s="77" t="s">
        <v>102</v>
      </c>
      <c r="B92" s="82">
        <f>B91-B90</f>
        <v>604.0343915343915</v>
      </c>
      <c r="C92" s="83"/>
      <c r="D92" s="65"/>
      <c r="E92" s="65"/>
      <c r="F92" s="65"/>
      <c r="G92" s="65"/>
      <c r="H92" s="65"/>
      <c r="I92" s="65"/>
      <c r="J92" s="65"/>
      <c r="K92" s="65"/>
      <c r="L92" s="65"/>
      <c r="M92" s="63"/>
    </row>
    <row r="93" spans="1:13" ht="12.75">
      <c r="A93" s="77" t="s">
        <v>101</v>
      </c>
      <c r="B93" s="100">
        <f>B78*B92/B96/B79/2</f>
        <v>0.5859669730312218</v>
      </c>
      <c r="C93" s="83"/>
      <c r="D93" s="65"/>
      <c r="E93" s="65"/>
      <c r="F93" s="65"/>
      <c r="G93" s="65"/>
      <c r="H93" s="65"/>
      <c r="I93" s="65"/>
      <c r="J93" s="65"/>
      <c r="K93" s="65"/>
      <c r="L93" s="65"/>
      <c r="M93" s="63"/>
    </row>
    <row r="94" spans="1:13" ht="12.75">
      <c r="A94" s="77" t="s">
        <v>103</v>
      </c>
      <c r="B94" s="100">
        <v>0.6</v>
      </c>
      <c r="C94" s="83"/>
      <c r="D94" s="65"/>
      <c r="E94" s="65"/>
      <c r="F94" s="65"/>
      <c r="G94" s="65"/>
      <c r="H94" s="65"/>
      <c r="I94" s="65"/>
      <c r="J94" s="65"/>
      <c r="K94" s="65"/>
      <c r="L94" s="65"/>
      <c r="M94" s="63"/>
    </row>
    <row r="95" spans="1:13" ht="12.75">
      <c r="A95" s="77"/>
      <c r="B95" s="100"/>
      <c r="C95" s="83"/>
      <c r="D95" s="65"/>
      <c r="E95" s="65"/>
      <c r="F95" s="65"/>
      <c r="G95" s="65"/>
      <c r="H95" s="65"/>
      <c r="I95" s="65"/>
      <c r="J95" s="65"/>
      <c r="K95" s="65"/>
      <c r="L95" s="65"/>
      <c r="M95" s="63"/>
    </row>
    <row r="96" spans="1:13" ht="12.75">
      <c r="A96" s="77" t="s">
        <v>72</v>
      </c>
      <c r="B96" s="84">
        <f>(B70*B79)/10000</f>
        <v>16.44973544973545</v>
      </c>
      <c r="C96" s="85">
        <f>(C70*C79)/10000</f>
        <v>16.44973544973545</v>
      </c>
      <c r="D96" s="65"/>
      <c r="E96" s="65"/>
      <c r="F96" s="65"/>
      <c r="G96" s="65"/>
      <c r="H96" s="65"/>
      <c r="I96" s="65"/>
      <c r="J96" s="65"/>
      <c r="K96" s="65"/>
      <c r="L96" s="65"/>
      <c r="M96" s="63"/>
    </row>
    <row r="97" spans="1:13" ht="12.75">
      <c r="A97" s="72" t="s">
        <v>73</v>
      </c>
      <c r="B97" s="86">
        <f>(B74*B80)/10000</f>
        <v>2.6746031746031744</v>
      </c>
      <c r="C97" s="87">
        <f>(C74*C80)/10000</f>
        <v>1.725473113021331</v>
      </c>
      <c r="D97" s="65"/>
      <c r="E97" s="65"/>
      <c r="F97" s="65"/>
      <c r="G97" s="65"/>
      <c r="H97" s="65"/>
      <c r="I97" s="65"/>
      <c r="J97" s="65"/>
      <c r="K97" s="65"/>
      <c r="L97" s="65"/>
      <c r="M97" s="63"/>
    </row>
    <row r="98" spans="1:13" ht="12.75">
      <c r="A98" s="74" t="s">
        <v>74</v>
      </c>
      <c r="B98" s="88">
        <f>((B90*B85*B96)+(B91*B86*0.7*0.6*B97))/((B96*B85)+(0.7*0.6*B86*B97))</f>
        <v>71.56645734865656</v>
      </c>
      <c r="C98" s="89">
        <f>((C90*C85*C96)+(C91*C86*0.7*0.9*C97))/((C96*C85)+(0.7*0.9*C86*C97))</f>
        <v>112.36629984178873</v>
      </c>
      <c r="D98" s="65"/>
      <c r="E98" s="65"/>
      <c r="F98" s="65"/>
      <c r="G98" s="65"/>
      <c r="H98" s="65"/>
      <c r="I98" s="65"/>
      <c r="J98" s="65"/>
      <c r="K98" s="65"/>
      <c r="L98" s="65"/>
      <c r="M98" s="63"/>
    </row>
    <row r="99" spans="1:13" ht="12.75">
      <c r="A99" s="101"/>
      <c r="B99" s="102">
        <f>B77*(B75-B80)/(B75-B76)</f>
        <v>18.41269841269841</v>
      </c>
      <c r="C99" s="102"/>
      <c r="D99" s="65"/>
      <c r="E99" s="65"/>
      <c r="F99" s="65"/>
      <c r="G99" s="65"/>
      <c r="H99" s="65"/>
      <c r="I99" s="65"/>
      <c r="J99" s="65"/>
      <c r="K99" s="65"/>
      <c r="L99" s="65"/>
      <c r="M99" s="63"/>
    </row>
    <row r="100" spans="1:13" ht="12.75">
      <c r="A100" s="67"/>
      <c r="B100" s="103">
        <f>0.25+B94*B93*B88/B87*(1-B89)</f>
        <v>0.3214103130704318</v>
      </c>
      <c r="C100" s="67"/>
      <c r="D100" s="67"/>
      <c r="E100" s="65"/>
      <c r="F100" s="65"/>
      <c r="G100" s="65"/>
      <c r="H100" s="65"/>
      <c r="I100" s="65"/>
      <c r="J100" s="65"/>
      <c r="K100" s="65"/>
      <c r="L100" s="65"/>
      <c r="M100" s="63"/>
    </row>
    <row r="101" spans="1:13" ht="12.75">
      <c r="A101" s="67"/>
      <c r="B101" s="67"/>
      <c r="C101" s="67"/>
      <c r="D101" s="67"/>
      <c r="E101" s="65"/>
      <c r="F101" s="65"/>
      <c r="G101" s="65"/>
      <c r="H101" s="65"/>
      <c r="I101" s="65"/>
      <c r="J101" s="65"/>
      <c r="K101" s="65"/>
      <c r="L101" s="65"/>
      <c r="M101" s="63"/>
    </row>
    <row r="102" spans="1:12" ht="15.75">
      <c r="A102" s="97" t="s">
        <v>98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1:12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1:12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2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1:12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12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1:12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1:12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1:12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1:12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1:12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12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</row>
    <row r="128" spans="1:12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</row>
    <row r="129" spans="1:12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</row>
    <row r="130" spans="1:12" ht="12.7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</row>
    <row r="131" spans="1:12" ht="12.7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</row>
    <row r="132" spans="1:12" ht="12.7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</row>
    <row r="133" spans="1:12" ht="12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</row>
    <row r="134" spans="1:12" ht="12.7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</row>
    <row r="135" spans="1:12" ht="12.7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</row>
    <row r="136" spans="1:12" ht="12.7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</row>
    <row r="137" spans="1:12" ht="12.7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2" ht="12.7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</row>
    <row r="139" spans="1:12" ht="12.7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</row>
    <row r="140" spans="1:12" ht="12.7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</row>
    <row r="141" spans="1:12" ht="12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</row>
    <row r="142" spans="1:12" ht="12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</row>
    <row r="143" spans="1:12" ht="12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</row>
    <row r="144" spans="1:12" ht="12.7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</row>
    <row r="145" spans="1:12" ht="12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</row>
    <row r="146" spans="1:12" ht="12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</row>
    <row r="147" spans="1:12" ht="12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</row>
    <row r="148" spans="1:12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</row>
    <row r="149" spans="1:12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</row>
    <row r="150" spans="1:12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</row>
    <row r="152" spans="1:12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2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1:12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5" spans="1:12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1:12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</row>
    <row r="157" spans="1:12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2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</row>
    <row r="159" spans="1:12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</row>
    <row r="160" spans="1:12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1:12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</row>
    <row r="162" spans="1:12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1:12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</row>
    <row r="164" spans="1:12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34.421875" style="0" customWidth="1"/>
  </cols>
  <sheetData>
    <row r="1" spans="1:2" ht="12.75">
      <c r="A1" s="50" t="s">
        <v>2</v>
      </c>
      <c r="B1" s="35"/>
    </row>
    <row r="2" spans="1:2" ht="12.75">
      <c r="A2" s="51" t="s">
        <v>3</v>
      </c>
      <c r="B2" s="52"/>
    </row>
    <row r="3" spans="1:2" ht="12.75">
      <c r="A3" s="53" t="s">
        <v>56</v>
      </c>
      <c r="B3" s="54"/>
    </row>
    <row r="4" spans="1:2" ht="13.5" thickBot="1">
      <c r="A4" s="15" t="s">
        <v>57</v>
      </c>
      <c r="B4" s="17"/>
    </row>
    <row r="5" ht="13.5" thickBot="1"/>
    <row r="6" spans="1:3" ht="13.5" thickBot="1">
      <c r="A6" s="48" t="s">
        <v>55</v>
      </c>
      <c r="B6" s="22"/>
      <c r="C6" s="47"/>
    </row>
    <row r="7" spans="1:10" ht="12.75">
      <c r="A7" s="21" t="s">
        <v>0</v>
      </c>
      <c r="B7" s="112">
        <v>31.5</v>
      </c>
      <c r="C7" s="4" t="s">
        <v>29</v>
      </c>
      <c r="D7" s="3" t="s">
        <v>40</v>
      </c>
      <c r="E7" s="3"/>
      <c r="G7" s="55"/>
      <c r="H7" s="55"/>
      <c r="I7" s="55">
        <f>B40</f>
        <v>21.8</v>
      </c>
      <c r="J7" s="55" t="str">
        <f>C40</f>
        <v>[dm2]</v>
      </c>
    </row>
    <row r="8" spans="1:3" ht="12.75">
      <c r="A8" s="8" t="s">
        <v>5</v>
      </c>
      <c r="B8" s="113">
        <v>2000</v>
      </c>
      <c r="C8" s="7" t="s">
        <v>9</v>
      </c>
    </row>
    <row r="9" spans="1:5" ht="12.75">
      <c r="A9" s="8" t="s">
        <v>1</v>
      </c>
      <c r="B9" s="113">
        <v>5</v>
      </c>
      <c r="C9" s="7" t="s">
        <v>29</v>
      </c>
      <c r="E9" t="s">
        <v>51</v>
      </c>
    </row>
    <row r="10" spans="1:5" ht="12.75">
      <c r="A10" s="8" t="s">
        <v>6</v>
      </c>
      <c r="B10" s="113">
        <v>600</v>
      </c>
      <c r="C10" s="7" t="s">
        <v>9</v>
      </c>
      <c r="D10" s="9"/>
      <c r="E10" t="s">
        <v>53</v>
      </c>
    </row>
    <row r="11" spans="1:5" ht="12.75">
      <c r="A11" s="8"/>
      <c r="B11" s="114"/>
      <c r="C11" s="7"/>
      <c r="D11" s="9"/>
      <c r="E11" t="s">
        <v>52</v>
      </c>
    </row>
    <row r="12" spans="1:4" ht="12.75">
      <c r="A12" s="8" t="s">
        <v>7</v>
      </c>
      <c r="B12" s="115">
        <f>B7/B8*10000</f>
        <v>157.5</v>
      </c>
      <c r="C12" s="7" t="s">
        <v>9</v>
      </c>
      <c r="D12" s="9"/>
    </row>
    <row r="13" spans="1:4" ht="13.5" thickBot="1">
      <c r="A13" s="15" t="s">
        <v>4</v>
      </c>
      <c r="B13" s="116">
        <f>B9*B10/B7/B12</f>
        <v>0.6046863189720333</v>
      </c>
      <c r="C13" s="14"/>
      <c r="D13" s="9"/>
    </row>
    <row r="14" spans="1:4" ht="13.5" thickBot="1">
      <c r="A14" s="9"/>
      <c r="B14" s="27"/>
      <c r="C14" s="25"/>
      <c r="D14" s="9"/>
    </row>
    <row r="15" spans="1:4" ht="13.5" thickBot="1">
      <c r="A15" s="43" t="s">
        <v>54</v>
      </c>
      <c r="B15" s="117"/>
      <c r="C15" s="45"/>
      <c r="D15" s="9"/>
    </row>
    <row r="16" spans="1:3" ht="12.75">
      <c r="A16" s="135" t="s">
        <v>41</v>
      </c>
      <c r="B16" s="112">
        <v>120</v>
      </c>
      <c r="C16" s="4" t="s">
        <v>9</v>
      </c>
    </row>
    <row r="17" spans="1:3" ht="12.75">
      <c r="A17" s="136" t="s">
        <v>44</v>
      </c>
      <c r="B17" s="113">
        <v>125</v>
      </c>
      <c r="C17" s="7" t="s">
        <v>9</v>
      </c>
    </row>
    <row r="18" spans="1:3" ht="12.75">
      <c r="A18" s="136" t="s">
        <v>45</v>
      </c>
      <c r="B18" s="113">
        <v>200</v>
      </c>
      <c r="C18" s="7" t="s">
        <v>9</v>
      </c>
    </row>
    <row r="19" spans="1:3" ht="12.75">
      <c r="A19" s="136" t="s">
        <v>43</v>
      </c>
      <c r="B19" s="113">
        <v>150</v>
      </c>
      <c r="C19" s="7" t="s">
        <v>9</v>
      </c>
    </row>
    <row r="20" spans="1:3" ht="12.75">
      <c r="A20" s="136" t="s">
        <v>42</v>
      </c>
      <c r="B20" s="113">
        <v>153</v>
      </c>
      <c r="C20" s="7" t="s">
        <v>9</v>
      </c>
    </row>
    <row r="21" spans="1:3" ht="12.75">
      <c r="A21" s="136" t="s">
        <v>46</v>
      </c>
      <c r="B21" s="113">
        <v>80</v>
      </c>
      <c r="C21" s="7" t="s">
        <v>9</v>
      </c>
    </row>
    <row r="22" spans="1:4" ht="12.75">
      <c r="A22" s="136" t="s">
        <v>49</v>
      </c>
      <c r="B22" s="118">
        <f>DEGREES(ASIN((B16-B17)/B18))</f>
        <v>-1.4325437375665075</v>
      </c>
      <c r="C22" s="7" t="s">
        <v>22</v>
      </c>
      <c r="D22" t="s">
        <v>50</v>
      </c>
    </row>
    <row r="23" spans="1:4" ht="12.75">
      <c r="A23" s="136" t="s">
        <v>47</v>
      </c>
      <c r="B23" s="118">
        <f>DEGREES(ASIN((B19-B20)/B21))</f>
        <v>-2.1490956268640184</v>
      </c>
      <c r="C23" s="7" t="s">
        <v>22</v>
      </c>
      <c r="D23" t="s">
        <v>50</v>
      </c>
    </row>
    <row r="24" spans="1:3" ht="13.5" thickBot="1">
      <c r="A24" s="154" t="s">
        <v>151</v>
      </c>
      <c r="B24" s="119">
        <f>B22-B23</f>
        <v>0.7165518892975109</v>
      </c>
      <c r="C24" s="14" t="s">
        <v>22</v>
      </c>
    </row>
    <row r="25" spans="1:2" ht="12.75">
      <c r="A25" s="9"/>
      <c r="B25" s="27"/>
    </row>
    <row r="26" ht="13.5" thickBot="1">
      <c r="L26" s="9"/>
    </row>
    <row r="27" spans="1:12" ht="13.5" thickBot="1">
      <c r="A27" s="131" t="s">
        <v>99</v>
      </c>
      <c r="B27" s="120"/>
      <c r="C27" s="132"/>
      <c r="L27" s="9"/>
    </row>
    <row r="28" spans="1:12" ht="12.75">
      <c r="A28" s="107" t="s">
        <v>8</v>
      </c>
      <c r="B28" s="133">
        <v>500</v>
      </c>
      <c r="C28" s="4" t="s">
        <v>9</v>
      </c>
      <c r="E28" s="21"/>
      <c r="F28" s="22"/>
      <c r="G28" s="22"/>
      <c r="H28" s="22"/>
      <c r="I28" s="22"/>
      <c r="J28" s="22"/>
      <c r="K28" s="22"/>
      <c r="L28" s="23"/>
    </row>
    <row r="29" spans="1:12" ht="12.75">
      <c r="A29" s="5" t="s">
        <v>10</v>
      </c>
      <c r="B29" s="121">
        <v>250</v>
      </c>
      <c r="C29" s="7" t="s">
        <v>9</v>
      </c>
      <c r="E29" s="8"/>
      <c r="F29" s="9"/>
      <c r="G29" s="9"/>
      <c r="H29" s="9"/>
      <c r="I29" s="9"/>
      <c r="J29" s="9"/>
      <c r="K29" s="9"/>
      <c r="L29" s="10"/>
    </row>
    <row r="30" spans="1:12" ht="12.75">
      <c r="A30" s="5" t="s">
        <v>11</v>
      </c>
      <c r="B30" s="121">
        <v>0</v>
      </c>
      <c r="C30" s="7" t="s">
        <v>9</v>
      </c>
      <c r="E30" s="8"/>
      <c r="F30" s="9"/>
      <c r="G30" s="9"/>
      <c r="H30" s="9"/>
      <c r="I30" s="9"/>
      <c r="J30" s="9"/>
      <c r="K30" s="9"/>
      <c r="L30" s="10"/>
    </row>
    <row r="31" spans="1:12" ht="12.75">
      <c r="A31" s="5" t="s">
        <v>123</v>
      </c>
      <c r="B31" s="123">
        <f>B28+B29+B30</f>
        <v>750</v>
      </c>
      <c r="C31" s="7" t="s">
        <v>9</v>
      </c>
      <c r="E31" s="8"/>
      <c r="F31" s="9"/>
      <c r="G31" s="9"/>
      <c r="H31" s="9"/>
      <c r="I31" s="9"/>
      <c r="J31" s="9"/>
      <c r="K31" s="9"/>
      <c r="L31" s="10"/>
    </row>
    <row r="32" spans="1:12" ht="12.75">
      <c r="A32" s="5" t="s">
        <v>12</v>
      </c>
      <c r="B32" s="121">
        <v>183</v>
      </c>
      <c r="C32" s="7" t="s">
        <v>9</v>
      </c>
      <c r="D32" s="58"/>
      <c r="E32" s="8"/>
      <c r="F32" s="9"/>
      <c r="G32" s="9"/>
      <c r="H32" s="9"/>
      <c r="I32" s="9"/>
      <c r="J32" s="9"/>
      <c r="K32" s="9"/>
      <c r="L32" s="10"/>
    </row>
    <row r="33" spans="1:12" ht="12.75">
      <c r="A33" s="5" t="s">
        <v>13</v>
      </c>
      <c r="B33" s="121">
        <v>140</v>
      </c>
      <c r="C33" s="7" t="s">
        <v>9</v>
      </c>
      <c r="E33" s="8"/>
      <c r="F33" s="9"/>
      <c r="G33" s="9"/>
      <c r="H33" s="9"/>
      <c r="I33" s="9"/>
      <c r="J33" s="9"/>
      <c r="K33" s="9"/>
      <c r="L33" s="10"/>
    </row>
    <row r="34" spans="1:12" ht="12.75">
      <c r="A34" s="5" t="s">
        <v>14</v>
      </c>
      <c r="B34" s="121">
        <v>86</v>
      </c>
      <c r="C34" s="7" t="s">
        <v>9</v>
      </c>
      <c r="E34" s="8"/>
      <c r="F34" s="9"/>
      <c r="G34" s="9"/>
      <c r="H34" s="9"/>
      <c r="I34" s="9"/>
      <c r="J34" s="9"/>
      <c r="K34" s="9"/>
      <c r="L34" s="10"/>
    </row>
    <row r="35" spans="1:12" ht="12.75">
      <c r="A35" s="5" t="s">
        <v>15</v>
      </c>
      <c r="B35" s="121">
        <v>0</v>
      </c>
      <c r="C35" s="7" t="s">
        <v>9</v>
      </c>
      <c r="E35" s="8"/>
      <c r="F35" s="9"/>
      <c r="G35" s="9"/>
      <c r="H35" s="9"/>
      <c r="I35" s="9"/>
      <c r="J35" s="9"/>
      <c r="K35" s="9"/>
      <c r="L35" s="10"/>
    </row>
    <row r="36" spans="1:12" ht="12.75">
      <c r="A36" s="5" t="s">
        <v>107</v>
      </c>
      <c r="B36" s="122">
        <f>+(B32+B33)*B28/2</f>
        <v>80750</v>
      </c>
      <c r="C36" s="7" t="s">
        <v>17</v>
      </c>
      <c r="E36" s="8"/>
      <c r="F36" s="9"/>
      <c r="G36" s="9"/>
      <c r="H36" s="9"/>
      <c r="I36" s="9"/>
      <c r="J36" s="9"/>
      <c r="K36" s="9"/>
      <c r="L36" s="10"/>
    </row>
    <row r="37" spans="1:12" ht="12.75">
      <c r="A37" s="5" t="s">
        <v>108</v>
      </c>
      <c r="B37" s="122">
        <f>+(B33+B34)*B29/2</f>
        <v>28250</v>
      </c>
      <c r="C37" s="7" t="s">
        <v>17</v>
      </c>
      <c r="E37" s="8"/>
      <c r="F37" s="9"/>
      <c r="G37" s="9"/>
      <c r="H37" s="9"/>
      <c r="I37" s="9"/>
      <c r="J37" s="9"/>
      <c r="K37" s="9"/>
      <c r="L37" s="10"/>
    </row>
    <row r="38" spans="1:12" ht="12.75">
      <c r="A38" s="5" t="s">
        <v>109</v>
      </c>
      <c r="B38" s="122">
        <f>+(B34+B35)*B30/2</f>
        <v>0</v>
      </c>
      <c r="C38" s="7" t="s">
        <v>17</v>
      </c>
      <c r="E38" s="8"/>
      <c r="F38" s="9"/>
      <c r="G38" s="9"/>
      <c r="H38" s="9"/>
      <c r="I38" s="9"/>
      <c r="J38" s="9"/>
      <c r="K38" s="9"/>
      <c r="L38" s="10"/>
    </row>
    <row r="39" spans="1:12" ht="12.75">
      <c r="A39" s="5" t="s">
        <v>105</v>
      </c>
      <c r="B39" s="123">
        <f>+B36+B37+B38</f>
        <v>109000</v>
      </c>
      <c r="C39" s="7" t="s">
        <v>17</v>
      </c>
      <c r="E39" s="8"/>
      <c r="F39" s="9"/>
      <c r="G39" s="9"/>
      <c r="H39" s="9"/>
      <c r="I39" s="9"/>
      <c r="J39" s="9"/>
      <c r="K39" s="9"/>
      <c r="L39" s="10"/>
    </row>
    <row r="40" spans="1:12" ht="12.75">
      <c r="A40" s="5" t="s">
        <v>106</v>
      </c>
      <c r="B40" s="124">
        <f>B39/10000*2</f>
        <v>21.8</v>
      </c>
      <c r="C40" s="7" t="s">
        <v>29</v>
      </c>
      <c r="E40" s="8"/>
      <c r="F40" s="9"/>
      <c r="G40" s="9"/>
      <c r="H40" s="9"/>
      <c r="I40" s="9"/>
      <c r="J40" s="9"/>
      <c r="K40" s="9"/>
      <c r="L40" s="10"/>
    </row>
    <row r="41" spans="1:12" ht="12.75">
      <c r="A41" s="5" t="s">
        <v>110</v>
      </c>
      <c r="B41" s="121">
        <v>27</v>
      </c>
      <c r="C41" s="7" t="s">
        <v>9</v>
      </c>
      <c r="E41" s="8"/>
      <c r="F41" s="9"/>
      <c r="G41" s="9"/>
      <c r="H41" s="9"/>
      <c r="I41" s="9"/>
      <c r="J41" s="9"/>
      <c r="K41" s="9"/>
      <c r="L41" s="10"/>
    </row>
    <row r="42" spans="1:12" ht="12.75" customHeight="1">
      <c r="A42" s="5" t="s">
        <v>111</v>
      </c>
      <c r="B42" s="121">
        <v>70</v>
      </c>
      <c r="C42" s="7" t="s">
        <v>9</v>
      </c>
      <c r="E42" s="8"/>
      <c r="F42" s="9"/>
      <c r="G42" s="9"/>
      <c r="H42" s="9"/>
      <c r="I42" s="9"/>
      <c r="J42" s="9"/>
      <c r="K42" s="9"/>
      <c r="L42" s="10"/>
    </row>
    <row r="43" spans="1:12" ht="12.75" customHeight="1" thickBot="1">
      <c r="A43" s="5" t="s">
        <v>112</v>
      </c>
      <c r="B43" s="121">
        <v>0</v>
      </c>
      <c r="C43" s="7" t="s">
        <v>9</v>
      </c>
      <c r="E43" s="15"/>
      <c r="F43" s="16"/>
      <c r="G43" s="16"/>
      <c r="H43" s="16"/>
      <c r="I43" s="16"/>
      <c r="J43" s="16"/>
      <c r="K43" s="16"/>
      <c r="L43" s="17"/>
    </row>
    <row r="44" spans="1:4" ht="12.75" customHeight="1">
      <c r="A44" s="5" t="s">
        <v>113</v>
      </c>
      <c r="B44" s="125">
        <f>IF(B28&lt;&gt;0,DEGREES(ATAN(((B41-0.25*B32+0.25*B33)/B28))),0)</f>
        <v>1.861457630466729</v>
      </c>
      <c r="C44" s="7" t="s">
        <v>22</v>
      </c>
      <c r="D44" s="9"/>
    </row>
    <row r="45" spans="1:12" ht="12.75" customHeight="1">
      <c r="A45" s="5" t="s">
        <v>114</v>
      </c>
      <c r="B45" s="125">
        <f>IF(B29&lt;&gt;0,DEGREES(ATAN(((B42-0.25*B33+0.25*B34-B41)/B29))),0)</f>
        <v>6.729781961109935</v>
      </c>
      <c r="C45" s="7" t="s">
        <v>22</v>
      </c>
      <c r="D45" s="9"/>
      <c r="E45" s="24"/>
      <c r="F45" s="25"/>
      <c r="L45" s="9"/>
    </row>
    <row r="46" spans="1:4" ht="12.75" customHeight="1" thickBot="1">
      <c r="A46" s="5" t="s">
        <v>115</v>
      </c>
      <c r="B46" s="125">
        <f>IF(B30&lt;&gt;0,DEGREES(ATAN(((B43-0.25*B34+0.25*B35-B42)/B30))),0)</f>
        <v>0</v>
      </c>
      <c r="C46" s="7" t="s">
        <v>22</v>
      </c>
      <c r="D46" s="9"/>
    </row>
    <row r="47" spans="1:12" ht="12.75" customHeight="1">
      <c r="A47" s="5" t="s">
        <v>104</v>
      </c>
      <c r="B47" s="121">
        <v>43</v>
      </c>
      <c r="C47" s="7" t="s">
        <v>120</v>
      </c>
      <c r="E47" s="31"/>
      <c r="F47" s="59">
        <v>0.3</v>
      </c>
      <c r="G47" s="60" t="s">
        <v>61</v>
      </c>
      <c r="H47" s="32"/>
      <c r="I47" s="32"/>
      <c r="J47" s="32"/>
      <c r="K47" s="32"/>
      <c r="L47" s="23"/>
    </row>
    <row r="48" spans="1:12" ht="12.75" customHeight="1">
      <c r="A48" s="5" t="s">
        <v>147</v>
      </c>
      <c r="B48" s="126">
        <f>IF(B36&lt;&gt;0,+B28/3/B36*(B32^2+B33^2+B32*B33),0)</f>
        <v>162.45407636738904</v>
      </c>
      <c r="C48" s="7" t="s">
        <v>9</v>
      </c>
      <c r="E48" s="8"/>
      <c r="F48" s="61">
        <v>0.2</v>
      </c>
      <c r="G48" s="9" t="s">
        <v>62</v>
      </c>
      <c r="H48" s="9"/>
      <c r="I48" s="9"/>
      <c r="J48" s="9"/>
      <c r="K48" s="9"/>
      <c r="L48" s="10"/>
    </row>
    <row r="49" spans="1:12" ht="12.75" customHeight="1" thickBot="1">
      <c r="A49" s="5" t="s">
        <v>148</v>
      </c>
      <c r="B49" s="126">
        <f>IF(B37&lt;&gt;0,+B29/3/B37*(B33^2+B34^2+B33*B34),0)</f>
        <v>115.1504424778761</v>
      </c>
      <c r="C49" s="7" t="s">
        <v>9</v>
      </c>
      <c r="E49" s="15"/>
      <c r="F49" s="62">
        <v>0.25</v>
      </c>
      <c r="G49" s="16" t="s">
        <v>63</v>
      </c>
      <c r="H49" s="16"/>
      <c r="I49" s="16"/>
      <c r="J49" s="16"/>
      <c r="K49" s="16"/>
      <c r="L49" s="17"/>
    </row>
    <row r="50" spans="1:12" ht="12.75" customHeight="1">
      <c r="A50" s="5" t="s">
        <v>149</v>
      </c>
      <c r="B50" s="126">
        <f>IF(B38&lt;&gt;0,+B30/3/B38*(B34^2+B35^2+B34*B35),0)</f>
        <v>0</v>
      </c>
      <c r="C50" s="7" t="s">
        <v>9</v>
      </c>
      <c r="E50" s="9"/>
      <c r="F50" s="61"/>
      <c r="G50" s="9"/>
      <c r="H50" s="9"/>
      <c r="I50" s="9"/>
      <c r="J50" s="9"/>
      <c r="K50" s="9"/>
      <c r="L50" s="9"/>
    </row>
    <row r="51" spans="1:12" ht="12.75">
      <c r="A51" s="5" t="s">
        <v>150</v>
      </c>
      <c r="B51" s="127">
        <f>(B48*B36+B49*B37+B50*B38)/B39</f>
        <v>150.19418960244647</v>
      </c>
      <c r="C51" s="7" t="s">
        <v>9</v>
      </c>
      <c r="E51" s="9"/>
      <c r="F51" s="61"/>
      <c r="G51" s="9"/>
      <c r="H51" s="9"/>
      <c r="I51" s="9"/>
      <c r="J51" s="9"/>
      <c r="K51" s="9"/>
      <c r="L51" s="9"/>
    </row>
    <row r="52" spans="1:12" ht="12.75">
      <c r="A52" s="5" t="s">
        <v>116</v>
      </c>
      <c r="B52" s="114">
        <f>IF(B36&lt;&gt;0,B41*(B32-B48)/(B32-B33),0)</f>
        <v>12.900928792569674</v>
      </c>
      <c r="C52" s="7" t="s">
        <v>9</v>
      </c>
      <c r="E52" s="9"/>
      <c r="F52" s="61"/>
      <c r="G52" s="9"/>
      <c r="H52" s="9"/>
      <c r="I52" s="9"/>
      <c r="J52" s="9"/>
      <c r="K52" s="9"/>
      <c r="L52" s="9"/>
    </row>
    <row r="53" spans="1:12" ht="12.75">
      <c r="A53" s="5" t="s">
        <v>117</v>
      </c>
      <c r="B53" s="114">
        <f>IF(B37&lt;&gt;0,B42*(B33-B49)/(B33-B34),0)</f>
        <v>32.212389380530986</v>
      </c>
      <c r="C53" s="7" t="s">
        <v>9</v>
      </c>
      <c r="E53" s="9"/>
      <c r="F53" s="61"/>
      <c r="G53" s="9"/>
      <c r="H53" s="9"/>
      <c r="I53" s="9"/>
      <c r="J53" s="9"/>
      <c r="K53" s="9"/>
      <c r="L53" s="9"/>
    </row>
    <row r="54" spans="1:3" ht="12.75">
      <c r="A54" s="5" t="s">
        <v>118</v>
      </c>
      <c r="B54" s="114">
        <f>IF(B38&lt;&gt;0,B43*(B34-B50)/(B34-B35),0)</f>
        <v>0</v>
      </c>
      <c r="C54" s="7" t="s">
        <v>9</v>
      </c>
    </row>
    <row r="55" spans="1:5" ht="12.75">
      <c r="A55" s="5" t="s">
        <v>119</v>
      </c>
      <c r="B55" s="128">
        <f>(B52*B36+B53*B37+B54*B38)/B39</f>
        <v>17.905963302752305</v>
      </c>
      <c r="C55" s="7" t="s">
        <v>9</v>
      </c>
      <c r="E55" s="105"/>
    </row>
    <row r="56" spans="1:5" ht="13.5" thickBot="1">
      <c r="A56" s="108" t="s">
        <v>152</v>
      </c>
      <c r="B56" s="129">
        <f>B51*B47/100+B55</f>
        <v>82.4894648318043</v>
      </c>
      <c r="C56" s="109" t="s">
        <v>9</v>
      </c>
      <c r="E56" s="105"/>
    </row>
    <row r="57" spans="1:5" ht="13.5" thickBot="1">
      <c r="A57" s="110"/>
      <c r="B57" s="9"/>
      <c r="C57" s="106"/>
      <c r="E57" s="105"/>
    </row>
    <row r="58" spans="1:4" ht="13.5" thickBot="1">
      <c r="A58" s="152" t="s">
        <v>143</v>
      </c>
      <c r="B58" s="143"/>
      <c r="C58" s="45"/>
      <c r="D58" s="92"/>
    </row>
    <row r="59" spans="1:13" ht="12.75">
      <c r="A59" s="140" t="s">
        <v>81</v>
      </c>
      <c r="B59" s="141">
        <v>170</v>
      </c>
      <c r="C59" s="7" t="s">
        <v>9</v>
      </c>
      <c r="D59" s="65"/>
      <c r="E59" s="65"/>
      <c r="F59" s="65"/>
      <c r="G59" s="65"/>
      <c r="H59" s="65"/>
      <c r="I59" s="65"/>
      <c r="J59" s="65"/>
      <c r="K59" s="65"/>
      <c r="L59" s="65"/>
      <c r="M59" s="63"/>
    </row>
    <row r="60" spans="1:13" ht="12.75">
      <c r="A60" s="134" t="s">
        <v>82</v>
      </c>
      <c r="B60" s="111">
        <v>90</v>
      </c>
      <c r="C60" s="7" t="s">
        <v>9</v>
      </c>
      <c r="D60" s="65"/>
      <c r="E60" s="65"/>
      <c r="F60" s="65"/>
      <c r="G60" s="65"/>
      <c r="H60" s="65"/>
      <c r="I60" s="65"/>
      <c r="J60" s="65"/>
      <c r="K60" s="65"/>
      <c r="L60" s="65"/>
      <c r="M60" s="63"/>
    </row>
    <row r="61" spans="1:13" ht="12.75">
      <c r="A61" s="134" t="s">
        <v>83</v>
      </c>
      <c r="B61" s="111">
        <v>90</v>
      </c>
      <c r="C61" s="7" t="s">
        <v>9</v>
      </c>
      <c r="D61" s="65"/>
      <c r="E61" s="65"/>
      <c r="F61" s="65"/>
      <c r="G61" s="65"/>
      <c r="H61" s="65"/>
      <c r="I61" s="65"/>
      <c r="J61" s="65"/>
      <c r="K61" s="65"/>
      <c r="L61" s="65"/>
      <c r="M61" s="63"/>
    </row>
    <row r="62" spans="1:13" ht="12.75">
      <c r="A62" s="134" t="s">
        <v>84</v>
      </c>
      <c r="B62" s="111">
        <v>25</v>
      </c>
      <c r="C62" s="7" t="s">
        <v>9</v>
      </c>
      <c r="D62" s="65"/>
      <c r="E62" s="65"/>
      <c r="F62" s="65"/>
      <c r="G62" s="65"/>
      <c r="H62" s="65"/>
      <c r="I62" s="65"/>
      <c r="J62" s="65"/>
      <c r="K62" s="65"/>
      <c r="L62" s="65"/>
      <c r="M62" s="63"/>
    </row>
    <row r="63" spans="1:13" ht="12.75">
      <c r="A63" s="134" t="s">
        <v>146</v>
      </c>
      <c r="B63" s="130">
        <f>(B61+B60)*B59/10000</f>
        <v>3.06</v>
      </c>
      <c r="C63" s="7" t="s">
        <v>29</v>
      </c>
      <c r="D63" s="65"/>
      <c r="E63" s="65"/>
      <c r="F63" s="65"/>
      <c r="G63" s="65"/>
      <c r="H63" s="65"/>
      <c r="I63" s="65"/>
      <c r="J63" s="65"/>
      <c r="K63" s="65"/>
      <c r="L63" s="65"/>
      <c r="M63" s="63"/>
    </row>
    <row r="64" spans="1:13" ht="12.75">
      <c r="A64" s="134" t="s">
        <v>122</v>
      </c>
      <c r="B64" s="160">
        <f>((B60-B61)*(B59-(B59/((((B61/2)+B60)/((B60/2)+B61))+1))))/B59+B61</f>
        <v>90</v>
      </c>
      <c r="C64" s="7" t="s">
        <v>9</v>
      </c>
      <c r="D64" s="65"/>
      <c r="E64" s="65"/>
      <c r="F64" s="65"/>
      <c r="G64" s="65"/>
      <c r="H64" s="65"/>
      <c r="I64" s="65"/>
      <c r="J64" s="65"/>
      <c r="K64" s="65"/>
      <c r="L64" s="65"/>
      <c r="M64" s="63"/>
    </row>
    <row r="65" spans="1:13" ht="12.75">
      <c r="A65" s="134" t="s">
        <v>126</v>
      </c>
      <c r="B65" s="82">
        <f>IF((B61-B60)&lt;&gt;0,B62*(B60-B64)/(B60-B61),0)</f>
        <v>0</v>
      </c>
      <c r="C65" s="7" t="s">
        <v>9</v>
      </c>
      <c r="D65" s="65"/>
      <c r="E65" s="65"/>
      <c r="F65" s="65"/>
      <c r="G65" s="65"/>
      <c r="H65" s="65"/>
      <c r="I65" s="65"/>
      <c r="J65" s="65"/>
      <c r="K65" s="65"/>
      <c r="L65" s="65"/>
      <c r="M65" s="63"/>
    </row>
    <row r="66" spans="1:13" ht="12.75">
      <c r="A66" s="134" t="s">
        <v>125</v>
      </c>
      <c r="B66" s="113">
        <v>790</v>
      </c>
      <c r="C66" s="7" t="s">
        <v>9</v>
      </c>
      <c r="D66" s="65"/>
      <c r="E66" s="65"/>
      <c r="F66" s="65"/>
      <c r="G66" s="65"/>
      <c r="H66" s="65"/>
      <c r="I66" s="65"/>
      <c r="J66" s="65"/>
      <c r="K66" s="65"/>
      <c r="L66" s="65"/>
      <c r="M66" s="63"/>
    </row>
    <row r="67" spans="1:13" ht="12.75">
      <c r="A67" s="134" t="s">
        <v>129</v>
      </c>
      <c r="B67" s="137">
        <f>B64*0.25+B65</f>
        <v>22.5</v>
      </c>
      <c r="C67" s="7" t="s">
        <v>9</v>
      </c>
      <c r="D67" s="65"/>
      <c r="E67" s="65"/>
      <c r="F67" s="65"/>
      <c r="G67" s="65"/>
      <c r="H67" s="65"/>
      <c r="I67" s="65"/>
      <c r="J67" s="65"/>
      <c r="K67" s="65"/>
      <c r="L67" s="65"/>
      <c r="M67" s="63"/>
    </row>
    <row r="68" spans="1:13" ht="12.75">
      <c r="A68" s="134" t="s">
        <v>128</v>
      </c>
      <c r="B68" s="118">
        <f>B55+B51*0.25</f>
        <v>55.45451070336392</v>
      </c>
      <c r="C68" s="7" t="s">
        <v>9</v>
      </c>
      <c r="D68" s="65"/>
      <c r="E68" s="65"/>
      <c r="F68" s="65"/>
      <c r="G68" s="65"/>
      <c r="H68" s="65"/>
      <c r="I68" s="65"/>
      <c r="J68" s="65"/>
      <c r="K68" s="65"/>
      <c r="L68" s="65"/>
      <c r="M68" s="63"/>
    </row>
    <row r="69" spans="1:13" ht="12.75">
      <c r="A69" s="134" t="s">
        <v>127</v>
      </c>
      <c r="B69" s="137">
        <f>B66+B67-B68</f>
        <v>757.0454892966361</v>
      </c>
      <c r="C69" s="7" t="s">
        <v>9</v>
      </c>
      <c r="D69" s="65"/>
      <c r="E69" s="65"/>
      <c r="F69" s="65"/>
      <c r="G69" s="65"/>
      <c r="H69" s="65"/>
      <c r="I69" s="65"/>
      <c r="J69" s="65"/>
      <c r="K69" s="65"/>
      <c r="L69" s="65"/>
      <c r="M69" s="63"/>
    </row>
    <row r="70" spans="1:13" ht="13.5" thickBot="1">
      <c r="A70" s="156" t="s">
        <v>124</v>
      </c>
      <c r="B70" s="159">
        <f>B63*B69/B51/B40</f>
        <v>0.7075119459764748</v>
      </c>
      <c r="C70" s="142"/>
      <c r="D70" s="65"/>
      <c r="E70" s="65"/>
      <c r="F70" s="65"/>
      <c r="G70" s="65"/>
      <c r="H70" s="65"/>
      <c r="I70" s="65"/>
      <c r="J70" s="65"/>
      <c r="K70" s="65"/>
      <c r="L70" s="65"/>
      <c r="M70" s="63"/>
    </row>
    <row r="71" spans="1:13" ht="13.5" thickBot="1">
      <c r="A71" s="134"/>
      <c r="B71" s="139"/>
      <c r="C71" s="138"/>
      <c r="D71" s="65"/>
      <c r="E71" s="65"/>
      <c r="F71" s="65"/>
      <c r="G71" s="65"/>
      <c r="H71" s="65"/>
      <c r="I71" s="65"/>
      <c r="J71" s="65"/>
      <c r="K71" s="65"/>
      <c r="L71" s="65"/>
      <c r="M71" s="63"/>
    </row>
    <row r="72" spans="1:13" ht="13.5" thickBot="1">
      <c r="A72" s="153" t="s">
        <v>121</v>
      </c>
      <c r="B72" s="144"/>
      <c r="C72" s="145"/>
      <c r="D72" s="65"/>
      <c r="E72" s="65"/>
      <c r="F72" s="65"/>
      <c r="G72" s="65"/>
      <c r="H72" s="65"/>
      <c r="I72" s="65"/>
      <c r="J72" s="65"/>
      <c r="K72" s="65"/>
      <c r="L72" s="65"/>
      <c r="M72" s="63"/>
    </row>
    <row r="73" spans="1:13" ht="12.75">
      <c r="A73" s="134" t="s">
        <v>142</v>
      </c>
      <c r="B73" s="82">
        <f>B31/B51*2</f>
        <v>9.987070764657377</v>
      </c>
      <c r="C73" s="104"/>
      <c r="D73" s="65"/>
      <c r="E73" s="65"/>
      <c r="F73" s="65"/>
      <c r="G73" s="65"/>
      <c r="H73" s="65"/>
      <c r="I73" s="65"/>
      <c r="J73" s="65"/>
      <c r="K73" s="65"/>
      <c r="L73" s="65"/>
      <c r="M73" s="63"/>
    </row>
    <row r="74" spans="1:13" ht="12.75">
      <c r="A74" s="134" t="s">
        <v>141</v>
      </c>
      <c r="B74" s="82">
        <f>+B59*2/B64</f>
        <v>3.7777777777777777</v>
      </c>
      <c r="C74" s="104"/>
      <c r="D74" s="65"/>
      <c r="E74" s="65"/>
      <c r="F74" s="65"/>
      <c r="G74" s="65"/>
      <c r="H74" s="65"/>
      <c r="I74" s="65"/>
      <c r="J74" s="65"/>
      <c r="K74" s="65"/>
      <c r="L74" s="65"/>
      <c r="M74" s="63"/>
    </row>
    <row r="75" spans="1:13" ht="12.75">
      <c r="A75" s="134" t="s">
        <v>140</v>
      </c>
      <c r="B75" s="82">
        <f>(2*3.1415926*B73)/(2+(4+B73^2)^(1/2))</f>
        <v>5.149672157422824</v>
      </c>
      <c r="C75" s="104"/>
      <c r="D75" s="65"/>
      <c r="E75" s="65"/>
      <c r="F75" s="65"/>
      <c r="G75" s="65"/>
      <c r="H75" s="65"/>
      <c r="I75" s="65"/>
      <c r="J75" s="65"/>
      <c r="K75" s="65"/>
      <c r="L75" s="65"/>
      <c r="M75" s="63"/>
    </row>
    <row r="76" spans="1:13" ht="12.75">
      <c r="A76" s="134" t="s">
        <v>139</v>
      </c>
      <c r="B76" s="82">
        <f>(2*3.1415926*B74)/(2+(4+B74^2)^(1/2))</f>
        <v>3.7829890383887816</v>
      </c>
      <c r="C76" s="104"/>
      <c r="D76" s="65"/>
      <c r="E76" s="65"/>
      <c r="F76" s="65"/>
      <c r="G76" s="65"/>
      <c r="H76" s="65"/>
      <c r="I76" s="65"/>
      <c r="J76" s="65"/>
      <c r="K76" s="65"/>
      <c r="L76" s="65"/>
      <c r="M76" s="63"/>
    </row>
    <row r="77" spans="1:13" ht="12.75">
      <c r="A77" s="134" t="s">
        <v>138</v>
      </c>
      <c r="B77" s="96">
        <f>(B73*0.11)/(B73+18.25*0.11)</f>
        <v>0.09158958712798024</v>
      </c>
      <c r="C77" s="146"/>
      <c r="D77" s="65"/>
      <c r="E77" s="65"/>
      <c r="F77" s="65"/>
      <c r="G77" s="65"/>
      <c r="H77" s="65"/>
      <c r="I77" s="65"/>
      <c r="J77" s="65"/>
      <c r="K77" s="65"/>
      <c r="L77" s="65"/>
      <c r="M77" s="63"/>
    </row>
    <row r="78" spans="1:13" ht="12.75">
      <c r="A78" s="134" t="s">
        <v>137</v>
      </c>
      <c r="B78" s="96">
        <f>(B74*0.095)/(B73+0.095*18.25)</f>
        <v>0.030619774510252048</v>
      </c>
      <c r="C78" s="146"/>
      <c r="D78" s="65"/>
      <c r="E78" s="65"/>
      <c r="F78" s="65"/>
      <c r="G78" s="65"/>
      <c r="H78" s="65"/>
      <c r="I78" s="65"/>
      <c r="J78" s="65"/>
      <c r="K78" s="65"/>
      <c r="L78" s="65"/>
      <c r="M78" s="63"/>
    </row>
    <row r="79" spans="1:13" ht="12.75">
      <c r="A79" s="134" t="s">
        <v>135</v>
      </c>
      <c r="B79" s="98">
        <v>0.3</v>
      </c>
      <c r="C79" s="104"/>
      <c r="D79" s="65"/>
      <c r="E79" s="65"/>
      <c r="F79" s="65"/>
      <c r="G79" s="65"/>
      <c r="H79" s="65"/>
      <c r="I79" s="65"/>
      <c r="J79" s="65"/>
      <c r="K79" s="65"/>
      <c r="L79" s="65"/>
      <c r="M79" s="63"/>
    </row>
    <row r="80" spans="1:13" ht="12.75">
      <c r="A80" s="134" t="s">
        <v>136</v>
      </c>
      <c r="B80" s="147">
        <v>0.8</v>
      </c>
      <c r="C80" s="104"/>
      <c r="D80" s="65"/>
      <c r="E80" s="65"/>
      <c r="F80" s="65"/>
      <c r="G80" s="65"/>
      <c r="H80" s="65"/>
      <c r="I80" s="65"/>
      <c r="J80" s="65"/>
      <c r="K80" s="65"/>
      <c r="L80" s="65"/>
      <c r="M80" s="63"/>
    </row>
    <row r="81" spans="1:13" ht="15.75">
      <c r="A81" s="134" t="s">
        <v>145</v>
      </c>
      <c r="B81" s="148">
        <f>0.25+B80*B70*(B78/B77)*(1-B79)</f>
        <v>0.38245784679157047</v>
      </c>
      <c r="C81" s="150" t="s">
        <v>132</v>
      </c>
      <c r="D81" s="65"/>
      <c r="E81" s="65" t="s">
        <v>133</v>
      </c>
      <c r="F81" s="65"/>
      <c r="G81" s="97" t="s">
        <v>98</v>
      </c>
      <c r="H81" s="65"/>
      <c r="I81" s="65"/>
      <c r="J81" s="65"/>
      <c r="K81" s="65"/>
      <c r="L81" s="65"/>
      <c r="M81" s="63"/>
    </row>
    <row r="82" spans="1:13" ht="12.75">
      <c r="A82" s="155" t="s">
        <v>144</v>
      </c>
      <c r="B82" s="157">
        <f>B81*B51+B55</f>
        <v>75.34890965870886</v>
      </c>
      <c r="C82" s="7" t="s">
        <v>9</v>
      </c>
      <c r="D82" s="65"/>
      <c r="E82" s="65"/>
      <c r="F82" s="65"/>
      <c r="G82" s="97"/>
      <c r="H82" s="65"/>
      <c r="I82" s="65"/>
      <c r="J82" s="65"/>
      <c r="K82" s="65"/>
      <c r="L82" s="65"/>
      <c r="M82" s="63"/>
    </row>
    <row r="83" spans="1:13" ht="12.75">
      <c r="A83" s="134" t="s">
        <v>134</v>
      </c>
      <c r="B83" s="149">
        <f>B81-B47/100</f>
        <v>-0.04754215320842953</v>
      </c>
      <c r="C83" s="150" t="s">
        <v>132</v>
      </c>
      <c r="D83" s="65"/>
      <c r="E83" s="65"/>
      <c r="F83" s="65"/>
      <c r="G83" s="65"/>
      <c r="H83" s="65"/>
      <c r="I83" s="65"/>
      <c r="J83" s="65"/>
      <c r="K83" s="65"/>
      <c r="L83" s="65"/>
      <c r="M83" s="63"/>
    </row>
    <row r="84" spans="1:13" ht="13.5" thickBot="1">
      <c r="A84" s="156" t="s">
        <v>131</v>
      </c>
      <c r="B84" s="158">
        <f>B83*100</f>
        <v>-4.7542153208429525</v>
      </c>
      <c r="C84" s="151" t="s">
        <v>130</v>
      </c>
      <c r="D84" s="65"/>
      <c r="E84" s="65"/>
      <c r="F84" s="65"/>
      <c r="G84" s="65"/>
      <c r="H84" s="65"/>
      <c r="I84" s="65"/>
      <c r="J84" s="65"/>
      <c r="K84" s="65"/>
      <c r="L84" s="65"/>
      <c r="M84" s="63"/>
    </row>
    <row r="85" spans="1:13" ht="12.75">
      <c r="A85" s="67"/>
      <c r="B85" s="67"/>
      <c r="C85" s="67"/>
      <c r="D85" s="65"/>
      <c r="E85" s="65"/>
      <c r="F85" s="65"/>
      <c r="G85" s="65"/>
      <c r="H85" s="65"/>
      <c r="I85" s="65"/>
      <c r="J85" s="65"/>
      <c r="K85" s="65"/>
      <c r="L85" s="65"/>
      <c r="M85" s="63"/>
    </row>
    <row r="86" spans="1:13" ht="12.75">
      <c r="A86" s="97"/>
      <c r="B86" s="67"/>
      <c r="C86" s="67"/>
      <c r="D86" s="67"/>
      <c r="E86" s="65"/>
      <c r="F86" s="65"/>
      <c r="G86" s="65"/>
      <c r="H86" s="65"/>
      <c r="I86" s="65"/>
      <c r="J86" s="65"/>
      <c r="K86" s="65"/>
      <c r="L86" s="65"/>
      <c r="M86" s="63"/>
    </row>
    <row r="87" spans="1:13" ht="12.75">
      <c r="A87" s="67"/>
      <c r="B87" s="67"/>
      <c r="C87" s="67"/>
      <c r="D87" s="67"/>
      <c r="E87" s="65"/>
      <c r="F87" s="65"/>
      <c r="G87" s="65"/>
      <c r="H87" s="65"/>
      <c r="I87" s="65"/>
      <c r="J87" s="65"/>
      <c r="K87" s="65"/>
      <c r="L87" s="65"/>
      <c r="M87" s="63"/>
    </row>
    <row r="88" spans="1:12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4:12" ht="12.75">
      <c r="D89" s="67"/>
      <c r="E89" s="67"/>
      <c r="F89" s="67"/>
      <c r="G89" s="67"/>
      <c r="H89" s="67"/>
      <c r="I89" s="67"/>
      <c r="J89" s="67"/>
      <c r="K89" s="67"/>
      <c r="L89" s="67"/>
    </row>
    <row r="90" spans="4:12" ht="12.75">
      <c r="D90" s="67"/>
      <c r="E90" s="67"/>
      <c r="F90" s="67"/>
      <c r="G90" s="67"/>
      <c r="H90" s="67"/>
      <c r="I90" s="67"/>
      <c r="J90" s="67"/>
      <c r="K90" s="67"/>
      <c r="L90" s="67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*</cp:lastModifiedBy>
  <dcterms:created xsi:type="dcterms:W3CDTF">2003-07-20T16:25:02Z</dcterms:created>
  <dcterms:modified xsi:type="dcterms:W3CDTF">2007-09-19T23:50:05Z</dcterms:modified>
  <cp:category/>
  <cp:version/>
  <cp:contentType/>
  <cp:contentStatus/>
</cp:coreProperties>
</file>